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798\Downloads\"/>
    </mc:Choice>
  </mc:AlternateContent>
  <xr:revisionPtr revIDLastSave="0" documentId="8_{3D5718A0-AD56-4C4A-AE7C-5B836DA2CB01}" xr6:coauthVersionLast="47" xr6:coauthVersionMax="47" xr10:uidLastSave="{00000000-0000-0000-0000-000000000000}"/>
  <bookViews>
    <workbookView xWindow="-98" yWindow="-98" windowWidth="24496" windowHeight="15675" xr2:uid="{00000000-000D-0000-FFFF-FFFF00000000}"/>
  </bookViews>
  <sheets>
    <sheet name="Tagesstand" sheetId="22" r:id="rId1"/>
    <sheet name="Spez.wert." sheetId="15" r:id="rId2"/>
    <sheet name="OUT" sheetId="21" r:id="rId3"/>
  </sheets>
  <definedNames>
    <definedName name="_xlnm.Print_Area" localSheetId="2">OUT!$A$1:$D$27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22" l="1"/>
  <c r="I6" i="22"/>
  <c r="G9" i="22"/>
  <c r="I22" i="22"/>
  <c r="I47" i="22"/>
  <c r="I46" i="22"/>
  <c r="I41" i="22"/>
  <c r="I39" i="22"/>
  <c r="I38" i="22"/>
  <c r="I37" i="22"/>
  <c r="G47" i="22"/>
  <c r="G42" i="22"/>
  <c r="G40" i="22"/>
  <c r="G39" i="22"/>
  <c r="E47" i="22"/>
  <c r="E46" i="22"/>
  <c r="E39" i="22"/>
  <c r="E38" i="22"/>
  <c r="E37" i="22"/>
  <c r="C47" i="22"/>
  <c r="C46" i="22"/>
  <c r="C45" i="22"/>
  <c r="C44" i="22"/>
  <c r="C40" i="22"/>
  <c r="C39" i="22"/>
  <c r="C38" i="22"/>
  <c r="C37" i="22"/>
  <c r="A47" i="22"/>
  <c r="A44" i="22"/>
  <c r="A43" i="22"/>
  <c r="A38" i="22"/>
  <c r="I25" i="22"/>
  <c r="I19" i="22"/>
  <c r="G20" i="22"/>
  <c r="E27" i="22"/>
  <c r="E26" i="22"/>
  <c r="E21" i="22"/>
  <c r="E20" i="22"/>
  <c r="E19" i="22"/>
  <c r="C33" i="22"/>
  <c r="C26" i="22"/>
  <c r="C23" i="22"/>
  <c r="C20" i="22"/>
  <c r="C19" i="22"/>
  <c r="A20" i="22"/>
  <c r="A19" i="22"/>
  <c r="I8" i="22"/>
  <c r="I7" i="22"/>
  <c r="G10" i="22"/>
  <c r="E10" i="22"/>
  <c r="C12" i="22"/>
  <c r="A7" i="22"/>
  <c r="E9" i="22"/>
  <c r="E3" i="22"/>
  <c r="C2" i="22"/>
  <c r="A10" i="22"/>
  <c r="A9" i="22"/>
  <c r="A4" i="22"/>
  <c r="A3" i="22"/>
  <c r="A2" i="22"/>
  <c r="I44" i="22"/>
  <c r="G45" i="22"/>
  <c r="C43" i="22"/>
  <c r="C42" i="22"/>
  <c r="I23" i="22"/>
  <c r="I21" i="22"/>
  <c r="G28" i="22"/>
  <c r="G27" i="22"/>
  <c r="G24" i="22"/>
  <c r="G23" i="22"/>
  <c r="E23" i="22"/>
  <c r="E22" i="22"/>
  <c r="A24" i="22"/>
  <c r="A23" i="22"/>
  <c r="G7" i="22"/>
  <c r="E7" i="22"/>
  <c r="C6" i="22"/>
  <c r="C3" i="22"/>
  <c r="G29" i="22"/>
  <c r="E25" i="22"/>
  <c r="C29" i="22"/>
  <c r="C25" i="22"/>
  <c r="C22" i="22"/>
  <c r="A29" i="22"/>
  <c r="E5" i="22"/>
  <c r="I26" i="22"/>
  <c r="G43" i="22"/>
  <c r="G38" i="22"/>
  <c r="G37" i="22"/>
  <c r="E42" i="22"/>
  <c r="I28" i="22"/>
  <c r="I27" i="22"/>
  <c r="G33" i="22"/>
  <c r="C28" i="22"/>
  <c r="A22" i="22"/>
  <c r="I3" i="22"/>
  <c r="G6" i="22"/>
  <c r="A5" i="22"/>
  <c r="I29" i="22"/>
  <c r="I45" i="22"/>
  <c r="E29" i="22"/>
  <c r="G3" i="22"/>
  <c r="E8" i="22"/>
  <c r="C9" i="22"/>
  <c r="A46" i="22"/>
  <c r="G5" i="22"/>
  <c r="C41" i="22"/>
  <c r="E28" i="22"/>
  <c r="I2" i="22"/>
  <c r="I40" i="22"/>
  <c r="G48" i="22"/>
  <c r="A42" i="22"/>
  <c r="E24" i="22"/>
  <c r="A26" i="22"/>
  <c r="G11" i="22"/>
  <c r="E2" i="22"/>
  <c r="C8" i="22"/>
  <c r="C5" i="22"/>
  <c r="E4" i="22"/>
  <c r="G44" i="22"/>
  <c r="G41" i="22"/>
  <c r="A6" i="22"/>
  <c r="I42" i="22"/>
  <c r="G21" i="22"/>
  <c r="E33" i="22"/>
  <c r="C24" i="22"/>
  <c r="E12" i="22"/>
  <c r="A11" i="22"/>
  <c r="G4" i="22"/>
  <c r="I43" i="22"/>
  <c r="I20" i="22"/>
  <c r="A45" i="22"/>
  <c r="A28" i="22"/>
  <c r="A27" i="22"/>
  <c r="I11" i="22"/>
  <c r="A12" i="22"/>
  <c r="E48" i="22"/>
  <c r="I48" i="22"/>
  <c r="A41" i="22"/>
  <c r="I13" i="22"/>
  <c r="G2" i="22"/>
  <c r="E6" i="22"/>
  <c r="E41" i="22"/>
  <c r="I33" i="22"/>
  <c r="C4" i="22"/>
  <c r="I4" i="22"/>
  <c r="C11" i="22"/>
  <c r="I24" i="22"/>
  <c r="G25" i="22"/>
  <c r="A33" i="22"/>
  <c r="I16" i="22" l="1"/>
  <c r="E45" i="22"/>
  <c r="E44" i="22"/>
  <c r="E43" i="22"/>
  <c r="E40" i="22"/>
  <c r="A48" i="22"/>
  <c r="A40" i="22"/>
  <c r="I9" i="22"/>
  <c r="G8" i="22"/>
  <c r="G16" i="22" s="1"/>
  <c r="A16" i="22"/>
  <c r="A39" i="22"/>
  <c r="I12" i="22"/>
  <c r="A53" i="22"/>
  <c r="C10" i="22"/>
  <c r="A8" i="22"/>
  <c r="E16" i="22"/>
  <c r="G53" i="22"/>
  <c r="C34" i="22"/>
  <c r="C48" i="22"/>
  <c r="C27" i="22"/>
  <c r="I10" i="22"/>
  <c r="A21" i="22"/>
  <c r="G26" i="22"/>
  <c r="G22" i="22"/>
  <c r="C7" i="22"/>
  <c r="I53" i="22" l="1"/>
  <c r="E53" i="22"/>
  <c r="E34" i="22"/>
  <c r="C53" i="22"/>
  <c r="I34" i="22"/>
  <c r="G34" i="22"/>
  <c r="A34" i="22"/>
  <c r="C16" i="22"/>
  <c r="E11" i="22"/>
  <c r="A56" i="22" l="1"/>
  <c r="A57" i="22" s="1"/>
  <c r="C35" i="22" s="1"/>
  <c r="A37" i="22"/>
  <c r="C21" i="22"/>
  <c r="G19" i="22"/>
  <c r="B27" i="21"/>
  <c r="G17" i="22" l="1"/>
  <c r="I17" i="22"/>
  <c r="A35" i="22"/>
  <c r="A54" i="22"/>
  <c r="G35" i="22"/>
  <c r="A17" i="22"/>
  <c r="E54" i="22"/>
  <c r="E35" i="22"/>
  <c r="C17" i="22"/>
  <c r="E17" i="22"/>
  <c r="G54" i="22"/>
  <c r="I54" i="22"/>
  <c r="C54" i="22"/>
  <c r="I35" i="22"/>
</calcChain>
</file>

<file path=xl/sharedStrings.xml><?xml version="1.0" encoding="utf-8"?>
<sst xmlns="http://schemas.openxmlformats.org/spreadsheetml/2006/main" count="432" uniqueCount="363">
  <si>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</si>
  <si>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</si>
  <si>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</si>
  <si>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</si>
  <si>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</si>
  <si>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</si>
  <si>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</si>
  <si>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</si>
  <si>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</si>
  <si>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</si>
  <si>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</si>
  <si>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</si>
  <si>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</si>
  <si>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</si>
  <si>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</si>
  <si>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</si>
  <si>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</si>
  <si>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</si>
  <si>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</si>
  <si>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</si>
  <si>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letzter</t>
  </si>
  <si>
    <t>COMBATIVITE</t>
  </si>
  <si>
    <t>Best 3. klass.</t>
  </si>
  <si>
    <t>Reihenfolge</t>
  </si>
  <si>
    <t xml:space="preserve">Betrag </t>
  </si>
  <si>
    <t>Fahrer</t>
  </si>
  <si>
    <t>Team</t>
  </si>
  <si>
    <t xml:space="preserve"> = AUSGESCHIEDEN</t>
  </si>
  <si>
    <t>,</t>
  </si>
  <si>
    <t>Känguru</t>
  </si>
  <si>
    <t>Krebs</t>
  </si>
  <si>
    <t>FE</t>
  </si>
  <si>
    <t>ZÜGE</t>
  </si>
  <si>
    <t>FRANCO</t>
  </si>
  <si>
    <t>LUCA LUCA</t>
  </si>
  <si>
    <t>HOLLYWOOD</t>
  </si>
  <si>
    <t>LULU</t>
  </si>
  <si>
    <t>BERGGEISSE</t>
  </si>
  <si>
    <t>BASTRO</t>
  </si>
  <si>
    <t>GRILLI</t>
  </si>
  <si>
    <t>BAROS</t>
  </si>
  <si>
    <t>WSD</t>
  </si>
  <si>
    <t>ALPE D'HUEZ</t>
  </si>
  <si>
    <t>MAXIM</t>
  </si>
  <si>
    <t>POGACAR</t>
  </si>
  <si>
    <t>SIMMONS</t>
  </si>
  <si>
    <t>BETTIOL</t>
  </si>
  <si>
    <t>SOLER</t>
  </si>
  <si>
    <t>HAMILTON</t>
  </si>
  <si>
    <t>VAN KEIRSBALCK</t>
  </si>
  <si>
    <t>EWAN</t>
  </si>
  <si>
    <t>KUSS</t>
  </si>
  <si>
    <t>ASGREEN</t>
  </si>
  <si>
    <t>IZAGIRRE Gorka</t>
  </si>
  <si>
    <t>CASTROVIEJO</t>
  </si>
  <si>
    <t>OSS</t>
  </si>
  <si>
    <t>NEILANDS</t>
  </si>
  <si>
    <t>RIABUSHENKO</t>
  </si>
  <si>
    <t>MARTINEZ</t>
  </si>
  <si>
    <t>MARTIN</t>
  </si>
  <si>
    <t>MOHORIC</t>
  </si>
  <si>
    <t>HAIG</t>
  </si>
  <si>
    <t>PARET-PEINTRE</t>
  </si>
  <si>
    <t>MEZGEC</t>
  </si>
  <si>
    <t>PETIT</t>
  </si>
  <si>
    <t>SCHÖNBERGER</t>
  </si>
  <si>
    <t>O'CONNOR</t>
  </si>
  <si>
    <t>PEDERSEN</t>
  </si>
  <si>
    <t>KRISTOFF</t>
  </si>
  <si>
    <t>VAN POPPEL</t>
  </si>
  <si>
    <t>COSNEFROY</t>
  </si>
  <si>
    <t>GALLOPIN</t>
  </si>
  <si>
    <t>MADOUAS</t>
  </si>
  <si>
    <t>KIRSCH</t>
  </si>
  <si>
    <t>DURBRIDGE</t>
  </si>
  <si>
    <t>SCHULTZ</t>
  </si>
  <si>
    <t>SAGAN</t>
  </si>
  <si>
    <t>BARGUIL</t>
  </si>
  <si>
    <t>BOASSON HAGEN</t>
  </si>
  <si>
    <t>MOZZATO</t>
  </si>
  <si>
    <t>VAN BAARLE</t>
  </si>
  <si>
    <t>MOSCON</t>
  </si>
  <si>
    <t>VAN AERT</t>
  </si>
  <si>
    <t>TEUNS</t>
  </si>
  <si>
    <t>EEKHOFF</t>
  </si>
  <si>
    <t>LAMPAERT</t>
  </si>
  <si>
    <t>STUYVEN</t>
  </si>
  <si>
    <t>GESCHKE</t>
  </si>
  <si>
    <t>DILLIER</t>
  </si>
  <si>
    <t>DE WULF</t>
  </si>
  <si>
    <t>FRISON</t>
  </si>
  <si>
    <t>PHILIPSEN</t>
  </si>
  <si>
    <t>GUERREIRO</t>
  </si>
  <si>
    <t>POWLESS</t>
  </si>
  <si>
    <t>LAPORTE</t>
  </si>
  <si>
    <t>JUNGELS</t>
  </si>
  <si>
    <t>GENIETS</t>
  </si>
  <si>
    <t>LE GAC</t>
  </si>
  <si>
    <t>BOIVIN</t>
  </si>
  <si>
    <t>OWSIAN</t>
  </si>
  <si>
    <t>PIDCOCK</t>
  </si>
  <si>
    <t>WOODS</t>
  </si>
  <si>
    <t>POLLIT</t>
  </si>
  <si>
    <t>LUTSENKO</t>
  </si>
  <si>
    <t>LAFAY</t>
  </si>
  <si>
    <t>MÜHLBERGER</t>
  </si>
  <si>
    <t>SANCHEZ</t>
  </si>
  <si>
    <t>VINGEGAARD</t>
  </si>
  <si>
    <t>GAUDU</t>
  </si>
  <si>
    <t>MAJKA</t>
  </si>
  <si>
    <t>MEINTJES</t>
  </si>
  <si>
    <t>KONRAD</t>
  </si>
  <si>
    <t>WRIGHT</t>
  </si>
  <si>
    <t>NAESEN</t>
  </si>
  <si>
    <t>TUSVELD</t>
  </si>
  <si>
    <t>BARDET</t>
  </si>
  <si>
    <t>CICCONE</t>
  </si>
  <si>
    <t>TURGIS</t>
  </si>
  <si>
    <t>PEREZ</t>
  </si>
  <si>
    <t>HOULE</t>
  </si>
  <si>
    <t>LAENGEN</t>
  </si>
  <si>
    <t>GROENEWEGEN</t>
  </si>
  <si>
    <t>CORT NIELSEN</t>
  </si>
  <si>
    <t>HALLER</t>
  </si>
  <si>
    <t>BJERG</t>
  </si>
  <si>
    <t>CLARKE</t>
  </si>
  <si>
    <t>MAS</t>
  </si>
  <si>
    <t>PINOT</t>
  </si>
  <si>
    <t>GROSSSCHARTNER</t>
  </si>
  <si>
    <t>VERMAERKE</t>
  </si>
  <si>
    <t>BYSTRÖM</t>
  </si>
  <si>
    <t>VAN DER POEL</t>
  </si>
  <si>
    <t>URAN</t>
  </si>
  <si>
    <t>KÜNG</t>
  </si>
  <si>
    <t>OLIVEIRA</t>
  </si>
  <si>
    <t>BENOOT</t>
  </si>
  <si>
    <t>GOGL</t>
  </si>
  <si>
    <t>LOUVEL</t>
  </si>
  <si>
    <t>GRADECK</t>
  </si>
  <si>
    <t>2. Etappe 2.7.</t>
  </si>
  <si>
    <t>3. Etappe 3.7.</t>
  </si>
  <si>
    <t>COQUARD</t>
  </si>
  <si>
    <t xml:space="preserve">LATOUR </t>
  </si>
  <si>
    <t>BUCHMANN</t>
  </si>
  <si>
    <t>PETERS</t>
  </si>
  <si>
    <t>KWIATKOWSKI</t>
  </si>
  <si>
    <t>MORKOV</t>
  </si>
  <si>
    <t>PEDRERO</t>
  </si>
  <si>
    <t>CHARMIG</t>
  </si>
  <si>
    <t>BAUHAUS</t>
  </si>
  <si>
    <t>BOL</t>
  </si>
  <si>
    <t>DE BUYST</t>
  </si>
  <si>
    <t>DEVENYNS</t>
  </si>
  <si>
    <t>TRAEEN</t>
  </si>
  <si>
    <t>GALL</t>
  </si>
  <si>
    <t>ARNDT</t>
  </si>
  <si>
    <t>JUUL JENSEN</t>
  </si>
  <si>
    <t>SINKELDAM</t>
  </si>
  <si>
    <t>MAFIOSOS</t>
  </si>
  <si>
    <t>JAKOBSEN</t>
  </si>
  <si>
    <t>VERMEERSCH</t>
  </si>
  <si>
    <t>CAMPENAERTS</t>
  </si>
  <si>
    <t>VAN DEN BERG</t>
  </si>
  <si>
    <t>RENARD</t>
  </si>
  <si>
    <t>VIKTOR</t>
  </si>
  <si>
    <t>ALAPHILIPPE</t>
  </si>
  <si>
    <t>JOHANNESSEN</t>
  </si>
  <si>
    <t>PACHER</t>
  </si>
  <si>
    <t>CRAS</t>
  </si>
  <si>
    <t>YATES Simon</t>
  </si>
  <si>
    <t>KRAGH ANDERSEN</t>
  </si>
  <si>
    <t>TRENTIN</t>
  </si>
  <si>
    <t>FEDOROV</t>
  </si>
  <si>
    <t>COSTA</t>
  </si>
  <si>
    <t>THEUNISSEN</t>
  </si>
  <si>
    <t>GUGLIELMI</t>
  </si>
  <si>
    <t>GREGAARD</t>
  </si>
  <si>
    <t>LANDA</t>
  </si>
  <si>
    <t>BERNAL</t>
  </si>
  <si>
    <t>CHAVES</t>
  </si>
  <si>
    <t>BURGEAUDEAU</t>
  </si>
  <si>
    <t>PICHON</t>
  </si>
  <si>
    <t>ABRAHAMSEN</t>
  </si>
  <si>
    <t>SKJELMOSE</t>
  </si>
  <si>
    <t>WELSFORD</t>
  </si>
  <si>
    <t>CAVAGNA</t>
  </si>
  <si>
    <t>IZAGIRRE Ion</t>
  </si>
  <si>
    <t>POELS</t>
  </si>
  <si>
    <t>BIERMANS</t>
  </si>
  <si>
    <t>SHAW</t>
  </si>
  <si>
    <t>VAN HOOYDONK</t>
  </si>
  <si>
    <t>RICKAERT</t>
  </si>
  <si>
    <t>HINDLEY</t>
  </si>
  <si>
    <t>ARANBURU</t>
  </si>
  <si>
    <t>CHAMPOUSSIN</t>
  </si>
  <si>
    <t>CRADDOCK</t>
  </si>
  <si>
    <t>EENKHOORN</t>
  </si>
  <si>
    <t>SMITH</t>
  </si>
  <si>
    <t>CARAPAZ</t>
  </si>
  <si>
    <t>CAVENDISH</t>
  </si>
  <si>
    <t>AMADOR</t>
  </si>
  <si>
    <t>TURNER</t>
  </si>
  <si>
    <t>DECLERQ</t>
  </si>
  <si>
    <t>YATES Adam</t>
  </si>
  <si>
    <t>STRONG</t>
  </si>
  <si>
    <t>DINHAM</t>
  </si>
  <si>
    <t>REINDERS</t>
  </si>
  <si>
    <t>GUARNIERI</t>
  </si>
  <si>
    <t>GIRMAY</t>
  </si>
  <si>
    <t>ZINGLE</t>
  </si>
  <si>
    <t>TILLER</t>
  </si>
  <si>
    <t>DELAPLACE</t>
  </si>
  <si>
    <t>FERRON</t>
  </si>
  <si>
    <t>EDMONDSON</t>
  </si>
  <si>
    <t>BERTHET</t>
  </si>
  <si>
    <t>BILBAO</t>
  </si>
  <si>
    <t>VAN GILS</t>
  </si>
  <si>
    <t>WAERENSKJOLD</t>
  </si>
  <si>
    <t>LOPEZ</t>
  </si>
  <si>
    <t>HARPER</t>
  </si>
  <si>
    <t>RODRIGUEZ</t>
  </si>
  <si>
    <t>MEEUS</t>
  </si>
  <si>
    <t>JORGENSEN</t>
  </si>
  <si>
    <t>KELDERMAN</t>
  </si>
  <si>
    <t>TEJADA</t>
  </si>
  <si>
    <t>CALMEJANE</t>
  </si>
  <si>
    <t>HERMANS</t>
  </si>
  <si>
    <t>TDF 2023Spezialwertungen</t>
  </si>
  <si>
    <t>110.</t>
  </si>
  <si>
    <t>TDF 2023 AUSGESCHIEDENE FAHRER</t>
  </si>
  <si>
    <t xml:space="preserve">1. Etappe 1.7. </t>
  </si>
  <si>
    <t>4. Etappe 4.7.</t>
  </si>
  <si>
    <t>5. Etappe 5.7.</t>
  </si>
  <si>
    <t>6. Etappe 6.7.</t>
  </si>
  <si>
    <t>7. Etappe 7.7.</t>
  </si>
  <si>
    <t>8. Etappe 8.7.</t>
  </si>
  <si>
    <t>9. Etappe 9.7.</t>
  </si>
  <si>
    <t>10. Etappe 11.7.</t>
  </si>
  <si>
    <t>11. Etappe 12.7.</t>
  </si>
  <si>
    <t>12. Etappe 13.7.</t>
  </si>
  <si>
    <t>13. Etappe 14.7.</t>
  </si>
  <si>
    <t>14. Etappe 15.7.</t>
  </si>
  <si>
    <t>15. Etappe 16.7</t>
  </si>
  <si>
    <t>16. Etappe 18.7.   EZF</t>
  </si>
  <si>
    <t>17. Etappe 19.7.</t>
  </si>
  <si>
    <t>18. Etappe 20.7.</t>
  </si>
  <si>
    <t>19. Etappe 21.7.</t>
  </si>
  <si>
    <t xml:space="preserve">20. Etappe 22.7  </t>
  </si>
  <si>
    <t>21. Etappe 23.7.</t>
  </si>
  <si>
    <t>DEGENKOLB</t>
  </si>
  <si>
    <t>ZIMMERMANN</t>
  </si>
  <si>
    <t>Lampaert</t>
  </si>
  <si>
    <t>Guarnieri</t>
  </si>
  <si>
    <t>Kelderman</t>
  </si>
  <si>
    <t>Yates Adam</t>
  </si>
  <si>
    <t>Mas</t>
  </si>
  <si>
    <t>Grilli</t>
  </si>
  <si>
    <t>FRAILE</t>
  </si>
  <si>
    <t>DE LA CRUZ</t>
  </si>
  <si>
    <t>Carapaz</t>
  </si>
  <si>
    <t>Züge</t>
  </si>
  <si>
    <t>Naesen</t>
  </si>
  <si>
    <t>de Buyst</t>
  </si>
  <si>
    <t>Landa</t>
  </si>
  <si>
    <t>Pedersen</t>
  </si>
  <si>
    <t>van Gils</t>
  </si>
  <si>
    <t>Powless</t>
  </si>
  <si>
    <t>Turner</t>
  </si>
  <si>
    <t>Fedorov</t>
  </si>
  <si>
    <t>Boivin</t>
  </si>
  <si>
    <t>Kragh Andersen</t>
  </si>
  <si>
    <t>Vermaerke</t>
  </si>
  <si>
    <t>Pichon</t>
  </si>
  <si>
    <t>Fraile</t>
  </si>
  <si>
    <t>Sanchez</t>
  </si>
  <si>
    <t>Sinkeldam</t>
  </si>
  <si>
    <t>Simmons</t>
  </si>
  <si>
    <t>Cosnefroy</t>
  </si>
  <si>
    <t>van der Poel</t>
  </si>
  <si>
    <t>Viktor</t>
  </si>
  <si>
    <t>Hollywood</t>
  </si>
  <si>
    <t>Cavagna</t>
  </si>
  <si>
    <t>Jakobsen</t>
  </si>
  <si>
    <t>Pidcock</t>
  </si>
  <si>
    <t>Lafay</t>
  </si>
  <si>
    <t>van Aert</t>
  </si>
  <si>
    <t>Laporte</t>
  </si>
  <si>
    <t>Devenyns</t>
  </si>
  <si>
    <t>Kwiatkowski</t>
  </si>
  <si>
    <t>Shaw</t>
  </si>
  <si>
    <t>Campenaerts</t>
  </si>
  <si>
    <t>Gogl</t>
  </si>
  <si>
    <t>Waerensjold</t>
  </si>
  <si>
    <t>Bjerg</t>
  </si>
  <si>
    <t>Smith</t>
  </si>
  <si>
    <t>Guglielmi</t>
  </si>
  <si>
    <t>Cavendish</t>
  </si>
  <si>
    <t>Cras</t>
  </si>
  <si>
    <t>Verneersch</t>
  </si>
  <si>
    <t>Zingle</t>
  </si>
  <si>
    <t>Madouas</t>
  </si>
  <si>
    <t>Renard</t>
  </si>
  <si>
    <t>Turgis</t>
  </si>
  <si>
    <t>Baros</t>
  </si>
  <si>
    <t>Philipsen</t>
  </si>
  <si>
    <t>Waerenskjold</t>
  </si>
  <si>
    <t>Latour</t>
  </si>
  <si>
    <t>Champoussin</t>
  </si>
  <si>
    <t>Jorgenson</t>
  </si>
  <si>
    <t>Gaudu</t>
  </si>
  <si>
    <t>Cort Nielsen</t>
  </si>
  <si>
    <t>Strong</t>
  </si>
  <si>
    <t>Neilands</t>
  </si>
  <si>
    <t>Ciccone</t>
  </si>
  <si>
    <t>Haller</t>
  </si>
  <si>
    <t>Coquard</t>
  </si>
  <si>
    <t>Oss</t>
  </si>
  <si>
    <t>Mafiosos</t>
  </si>
  <si>
    <t>de la Cruz</t>
  </si>
  <si>
    <t>Frison</t>
  </si>
  <si>
    <t>Ewan</t>
  </si>
  <si>
    <t>Geniets</t>
  </si>
  <si>
    <t>Zimmermann</t>
  </si>
  <si>
    <t>Ewen</t>
  </si>
  <si>
    <t>Arndt</t>
  </si>
  <si>
    <t>Rodriguez</t>
  </si>
  <si>
    <t>Charmig</t>
  </si>
  <si>
    <t>Gallopin</t>
  </si>
  <si>
    <t>Chaves</t>
  </si>
  <si>
    <t>Pedrero</t>
  </si>
  <si>
    <t>Bardet</t>
  </si>
  <si>
    <t>Meintjes</t>
  </si>
  <si>
    <t>Guerreiro</t>
  </si>
  <si>
    <t>Franco</t>
  </si>
  <si>
    <t>Luca Luca</t>
  </si>
  <si>
    <t>Berggeisse</t>
  </si>
  <si>
    <t>Fe</t>
  </si>
  <si>
    <t>Bastro</t>
  </si>
  <si>
    <t>Kirsch</t>
  </si>
  <si>
    <t>Petit</t>
  </si>
  <si>
    <t>Castroviejo</t>
  </si>
  <si>
    <t>Mühlberger</t>
  </si>
  <si>
    <t>Dinham</t>
  </si>
  <si>
    <t>Martinez</t>
  </si>
  <si>
    <t>Bol</t>
  </si>
  <si>
    <t>Kuss</t>
  </si>
  <si>
    <t>Haig</t>
  </si>
  <si>
    <t>Clarke</t>
  </si>
  <si>
    <t>Johannesen</t>
  </si>
  <si>
    <t>Gall</t>
  </si>
  <si>
    <t>Hermans</t>
  </si>
  <si>
    <t>Biermans</t>
  </si>
  <si>
    <t>Rickaert</t>
  </si>
  <si>
    <t>Trentin</t>
  </si>
  <si>
    <t>Craddock</t>
  </si>
  <si>
    <t>Asgreen</t>
  </si>
  <si>
    <t>Majka</t>
  </si>
  <si>
    <t>Kwiatkwski</t>
  </si>
  <si>
    <t>Pinot</t>
  </si>
  <si>
    <t>van Baarle</t>
  </si>
  <si>
    <t>Boasson-Hagen</t>
  </si>
  <si>
    <t>Paret-Peintre</t>
  </si>
  <si>
    <t>Soler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</si>
</sst>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Helv"/>
    </font>
    <font>
      <b/>
      <sz val="10"/>
      <name val="Helv"/>
    </font>
    <font>
      <sz val="10"/>
      <name val="Helv"/>
    </font>
    <font>
      <b/>
      <sz val="12"/>
      <name val="Helv"/>
    </font>
    <font>
      <sz val="8"/>
      <name val="Helv"/>
    </font>
    <font>
      <sz val="24"/>
      <name val="Helv"/>
    </font>
    <font>
      <sz val="14"/>
      <name val="Helv"/>
    </font>
    <font>
      <b/>
      <sz val="8"/>
      <name val="Helv"/>
    </font>
    <font>
      <b/>
      <sz val="9"/>
      <name val="Helv"/>
    </font>
    <font>
      <sz val="9"/>
      <name val="Helv"/>
    </font>
    <font>
      <b/>
      <sz val="10"/>
      <color indexed="8"/>
      <name val="Helv"/>
    </font>
    <font>
      <b/>
      <sz val="10"/>
      <color rgb="FFFF0000"/>
      <name val="Helv"/>
    </font>
    <font>
      <b/>
      <sz val="10"/>
      <color theme="0"/>
      <name val="Helv"/>
    </font>
    <font>
      <b/>
      <sz val="10"/>
      <color rgb="FF00B050"/>
      <name val="Helv"/>
    </font>
    <font>
      <b/>
      <u/>
      <sz val="10"/>
      <name val="Helv"/>
    </font>
    <font>
      <b/>
      <sz val="9"/>
      <color theme="0"/>
      <name val="Helv"/>
    </font>
    <font>
      <b/>
      <sz val="10"/>
      <color theme="2"/>
      <name val="Helv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/>
    <xf numFmtId="0" fontId="6" fillId="0" borderId="5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6" xfId="0" applyNumberFormat="1" applyFont="1" applyBorder="1"/>
    <xf numFmtId="0" fontId="0" fillId="0" borderId="0" xfId="0" applyAlignment="1">
      <alignment horizontal="right"/>
    </xf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6" xfId="0" quotePrefix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/>
    <xf numFmtId="3" fontId="0" fillId="0" borderId="6" xfId="0" applyNumberFormat="1" applyBorder="1"/>
    <xf numFmtId="3" fontId="9" fillId="0" borderId="6" xfId="0" applyNumberFormat="1" applyFont="1" applyBorder="1"/>
    <xf numFmtId="3" fontId="2" fillId="0" borderId="6" xfId="0" applyNumberFormat="1" applyFont="1" applyBorder="1"/>
    <xf numFmtId="3" fontId="7" fillId="0" borderId="0" xfId="0" applyNumberFormat="1" applyFont="1"/>
    <xf numFmtId="3" fontId="1" fillId="0" borderId="8" xfId="0" applyNumberFormat="1" applyFont="1" applyBorder="1"/>
    <xf numFmtId="3" fontId="8" fillId="0" borderId="6" xfId="0" applyNumberFormat="1" applyFont="1" applyBorder="1"/>
    <xf numFmtId="3" fontId="1" fillId="0" borderId="0" xfId="0" applyNumberFormat="1" applyFont="1"/>
    <xf numFmtId="3" fontId="0" fillId="0" borderId="0" xfId="0" applyNumberFormat="1"/>
    <xf numFmtId="3" fontId="1" fillId="3" borderId="6" xfId="0" applyNumberFormat="1" applyFont="1" applyFill="1" applyBorder="1" applyAlignment="1">
      <alignment horizontal="center"/>
    </xf>
    <xf numFmtId="0" fontId="3" fillId="4" borderId="0" xfId="0" applyFont="1" applyFill="1"/>
    <xf numFmtId="0" fontId="1" fillId="4" borderId="0" xfId="0" applyFont="1" applyFill="1"/>
    <xf numFmtId="0" fontId="1" fillId="3" borderId="0" xfId="0" applyFont="1" applyFill="1"/>
    <xf numFmtId="0" fontId="5" fillId="3" borderId="0" xfId="0" applyFont="1" applyFill="1"/>
    <xf numFmtId="3" fontId="11" fillId="0" borderId="7" xfId="0" applyNumberFormat="1" applyFont="1" applyBorder="1" applyAlignment="1">
      <alignment horizontal="right"/>
    </xf>
    <xf numFmtId="3" fontId="1" fillId="5" borderId="7" xfId="0" applyNumberFormat="1" applyFont="1" applyFill="1" applyBorder="1"/>
    <xf numFmtId="3" fontId="1" fillId="5" borderId="8" xfId="0" applyNumberFormat="1" applyFont="1" applyFill="1" applyBorder="1"/>
    <xf numFmtId="3" fontId="11" fillId="0" borderId="6" xfId="0" applyNumberFormat="1" applyFont="1" applyBorder="1"/>
    <xf numFmtId="3" fontId="13" fillId="0" borderId="7" xfId="0" applyNumberFormat="1" applyFont="1" applyBorder="1" applyAlignment="1">
      <alignment horizontal="right"/>
    </xf>
    <xf numFmtId="3" fontId="8" fillId="0" borderId="7" xfId="0" applyNumberFormat="1" applyFont="1" applyBorder="1"/>
    <xf numFmtId="3" fontId="13" fillId="0" borderId="6" xfId="0" applyNumberFormat="1" applyFont="1" applyBorder="1"/>
    <xf numFmtId="0" fontId="4" fillId="0" borderId="6" xfId="0" applyFont="1" applyBorder="1"/>
    <xf numFmtId="0" fontId="8" fillId="0" borderId="1" xfId="0" applyFont="1" applyBorder="1" applyAlignment="1">
      <alignment horizontal="center"/>
    </xf>
    <xf numFmtId="3" fontId="1" fillId="6" borderId="6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left"/>
    </xf>
    <xf numFmtId="3" fontId="7" fillId="0" borderId="6" xfId="0" applyNumberFormat="1" applyFont="1" applyBorder="1" applyAlignment="1">
      <alignment horizontal="left"/>
    </xf>
    <xf numFmtId="3" fontId="3" fillId="0" borderId="6" xfId="0" applyNumberFormat="1" applyFont="1" applyBorder="1" applyAlignment="1">
      <alignment horizontal="center"/>
    </xf>
    <xf numFmtId="0" fontId="15" fillId="2" borderId="0" xfId="0" applyFont="1" applyFill="1"/>
    <xf numFmtId="3" fontId="11" fillId="0" borderId="6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16" fillId="7" borderId="6" xfId="0" applyNumberFormat="1" applyFont="1" applyFill="1" applyBorder="1"/>
    <xf numFmtId="3" fontId="16" fillId="7" borderId="7" xfId="0" applyNumberFormat="1" applyFont="1" applyFill="1" applyBorder="1"/>
    <xf numFmtId="0" fontId="1" fillId="6" borderId="1" xfId="0" applyFont="1" applyFill="1" applyBorder="1" applyAlignment="1">
      <alignment horizontal="center"/>
    </xf>
    <xf numFmtId="3" fontId="13" fillId="0" borderId="7" xfId="0" applyNumberFormat="1" applyFont="1" applyBorder="1"/>
    <xf numFmtId="3" fontId="12" fillId="7" borderId="6" xfId="0" applyNumberFormat="1" applyFont="1" applyFill="1" applyBorder="1"/>
    <xf numFmtId="3" fontId="12" fillId="7" borderId="7" xfId="0" applyNumberFormat="1" applyFont="1" applyFill="1" applyBorder="1"/>
    <xf numFmtId="3" fontId="13" fillId="0" borderId="6" xfId="0" applyNumberFormat="1" applyFont="1" applyBorder="1" applyAlignment="1">
      <alignment horizontal="right"/>
    </xf>
    <xf numFmtId="3" fontId="13" fillId="5" borderId="7" xfId="0" applyNumberFormat="1" applyFont="1" applyFill="1" applyBorder="1" applyAlignment="1">
      <alignment horizontal="right"/>
    </xf>
    <xf numFmtId="3" fontId="12" fillId="7" borderId="6" xfId="0" applyNumberFormat="1" applyFont="1" applyFill="1" applyBorder="1" applyAlignment="1">
      <alignment horizontal="left"/>
    </xf>
    <xf numFmtId="0" fontId="12" fillId="6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tabSelected="1" view="pageLayout" zoomScaleNormal="100" workbookViewId="0">
      <selection activeCell="I54" sqref="I54"/>
    </sheetView>
  </sheetViews>
  <sheetFormatPr baseColWidth="10" defaultRowHeight="17.100000000000001" customHeight="1" x14ac:dyDescent="0.35"/>
  <cols>
    <col min="1" max="1" width="7.5703125" customWidth="1"/>
    <col min="2" max="2" width="23.42578125" bestFit="1" customWidth="1"/>
    <col min="3" max="3" width="6.7109375" customWidth="1"/>
    <col min="4" max="4" width="21.85546875" bestFit="1" customWidth="1"/>
    <col min="5" max="5" width="6.7109375" customWidth="1"/>
    <col min="6" max="6" width="21.140625" bestFit="1" customWidth="1"/>
    <col min="7" max="7" width="6.7109375" customWidth="1"/>
    <col min="8" max="8" width="24.140625" bestFit="1" customWidth="1"/>
    <col min="9" max="9" width="6.7109375" customWidth="1"/>
    <col min="10" max="10" width="22.7109375" bestFit="1" customWidth="1"/>
  </cols>
  <sheetData>
    <row r="1" spans="1:12" ht="17.100000000000001" customHeight="1" x14ac:dyDescent="0.35">
      <c r="A1" s="31">
        <v>1</v>
      </c>
      <c r="B1" s="45" t="s">
        <v>37</v>
      </c>
      <c r="C1" s="31">
        <v>2</v>
      </c>
      <c r="D1" s="45" t="s">
        <v>41</v>
      </c>
      <c r="E1" s="31">
        <v>3</v>
      </c>
      <c r="F1" s="45" t="s">
        <v>31</v>
      </c>
      <c r="G1" s="31">
        <v>4</v>
      </c>
      <c r="H1" s="45" t="s">
        <v>158</v>
      </c>
      <c r="I1" s="31">
        <v>5</v>
      </c>
      <c r="J1" s="45" t="s">
        <v>164</v>
      </c>
    </row>
    <row r="2" spans="1:12" ht="17.100000000000001" customHeight="1" x14ac:dyDescent="0.35">
      <c r="A2" s="15">
        <f>30+25+60+105+25+33+41+25+33+35+80+123+34+185+85+25+25+85+25+485</f>
        <v>1564</v>
      </c>
      <c r="B2" s="46" t="s">
        <v>107</v>
      </c>
      <c r="C2" s="22">
        <f>91+118+18+18+48+183+18+43+41+18+24+37+88+123+33+113+18+18+18+183+33+475</f>
        <v>1759</v>
      </c>
      <c r="D2" s="15" t="s">
        <v>44</v>
      </c>
      <c r="E2" s="58">
        <f>20+83+53+33+25+30+60+30+9+90+60</f>
        <v>493</v>
      </c>
      <c r="F2" s="57" t="s">
        <v>82</v>
      </c>
      <c r="G2" s="58">
        <f>55+5+15+10+20</f>
        <v>105</v>
      </c>
      <c r="H2" s="57" t="s">
        <v>159</v>
      </c>
      <c r="I2" s="22">
        <f>9+25+15+15</f>
        <v>64</v>
      </c>
      <c r="J2" s="15" t="s">
        <v>165</v>
      </c>
      <c r="L2" s="30"/>
    </row>
    <row r="3" spans="1:12" ht="17.100000000000001" customHeight="1" x14ac:dyDescent="0.35">
      <c r="A3" s="15">
        <f>24+16+8+19+50+21+31+10+50</f>
        <v>229</v>
      </c>
      <c r="B3" s="46" t="s">
        <v>51</v>
      </c>
      <c r="C3" s="22">
        <f>18+7+20+6</f>
        <v>51</v>
      </c>
      <c r="D3" s="15" t="s">
        <v>112</v>
      </c>
      <c r="E3" s="22">
        <f>108+15+16+45+18+215+100+195</f>
        <v>712</v>
      </c>
      <c r="F3" s="15" t="s">
        <v>154</v>
      </c>
      <c r="G3" s="22">
        <f>16+40+30+45+20</f>
        <v>151</v>
      </c>
      <c r="H3" s="15" t="s">
        <v>68</v>
      </c>
      <c r="I3" s="22">
        <f>16+20+10+15</f>
        <v>61</v>
      </c>
      <c r="J3" s="15" t="s">
        <v>61</v>
      </c>
    </row>
    <row r="4" spans="1:12" ht="17.100000000000001" customHeight="1" x14ac:dyDescent="0.35">
      <c r="A4" s="15">
        <f>25+65+15+15+35+45+75+6+45+50</f>
        <v>376</v>
      </c>
      <c r="B4" s="46" t="s">
        <v>141</v>
      </c>
      <c r="C4" s="58">
        <f>80+60+40+60</f>
        <v>240</v>
      </c>
      <c r="D4" s="57" t="s">
        <v>149</v>
      </c>
      <c r="E4" s="58">
        <f>40+5</f>
        <v>45</v>
      </c>
      <c r="F4" s="57" t="s">
        <v>58</v>
      </c>
      <c r="G4" s="58">
        <f>40+8+25+15+7+10</f>
        <v>105</v>
      </c>
      <c r="H4" s="57" t="s">
        <v>115</v>
      </c>
      <c r="I4" s="22">
        <f>30</f>
        <v>30</v>
      </c>
      <c r="J4" s="15" t="s">
        <v>122</v>
      </c>
    </row>
    <row r="5" spans="1:12" ht="17.100000000000001" customHeight="1" x14ac:dyDescent="0.35">
      <c r="A5" s="15">
        <f>15+100+9+50</f>
        <v>174</v>
      </c>
      <c r="B5" s="46" t="s">
        <v>142</v>
      </c>
      <c r="C5" s="22">
        <f>15</f>
        <v>15</v>
      </c>
      <c r="D5" s="15" t="s">
        <v>132</v>
      </c>
      <c r="E5" s="22">
        <f>8+35+35+20+15</f>
        <v>113</v>
      </c>
      <c r="F5" s="15" t="s">
        <v>83</v>
      </c>
      <c r="G5" s="58">
        <f>0</f>
        <v>0</v>
      </c>
      <c r="H5" s="57" t="s">
        <v>87</v>
      </c>
      <c r="I5" s="22">
        <f>80+29+55+75+35+55+30</f>
        <v>359</v>
      </c>
      <c r="J5" s="15" t="s">
        <v>166</v>
      </c>
    </row>
    <row r="6" spans="1:12" ht="17.100000000000001" customHeight="1" x14ac:dyDescent="0.35">
      <c r="A6" s="15">
        <f>18+61+18</f>
        <v>97</v>
      </c>
      <c r="B6" s="46" t="s">
        <v>143</v>
      </c>
      <c r="C6" s="22">
        <f>16+19+5+45+50</f>
        <v>135</v>
      </c>
      <c r="D6" s="15" t="s">
        <v>150</v>
      </c>
      <c r="E6" s="22">
        <f>6+16</f>
        <v>22</v>
      </c>
      <c r="F6" s="15" t="s">
        <v>102</v>
      </c>
      <c r="G6" s="22">
        <f>40+15+10+10</f>
        <v>75</v>
      </c>
      <c r="H6" s="15" t="s">
        <v>103</v>
      </c>
      <c r="I6" s="22">
        <f>35+40+15</f>
        <v>90</v>
      </c>
      <c r="J6" s="15" t="s">
        <v>63</v>
      </c>
    </row>
    <row r="7" spans="1:12" ht="17.100000000000001" customHeight="1" x14ac:dyDescent="0.35">
      <c r="A7" s="15">
        <f>0</f>
        <v>0</v>
      </c>
      <c r="B7" s="29" t="s">
        <v>111</v>
      </c>
      <c r="C7" s="15">
        <f>50</f>
        <v>50</v>
      </c>
      <c r="D7" s="15" t="s">
        <v>257</v>
      </c>
      <c r="E7" s="22">
        <f>20</f>
        <v>20</v>
      </c>
      <c r="F7" s="15" t="s">
        <v>62</v>
      </c>
      <c r="G7" s="22">
        <f>56+56+6+19</f>
        <v>137</v>
      </c>
      <c r="H7" s="15" t="s">
        <v>85</v>
      </c>
      <c r="I7" s="22">
        <f>0</f>
        <v>0</v>
      </c>
      <c r="J7" s="15" t="s">
        <v>249</v>
      </c>
    </row>
    <row r="8" spans="1:12" ht="17.100000000000001" customHeight="1" x14ac:dyDescent="0.35">
      <c r="A8" s="15">
        <f>10</f>
        <v>10</v>
      </c>
      <c r="B8" s="46" t="s">
        <v>144</v>
      </c>
      <c r="C8" s="22">
        <f>10</f>
        <v>10</v>
      </c>
      <c r="D8" s="15" t="s">
        <v>125</v>
      </c>
      <c r="E8" s="22">
        <f>50+8</f>
        <v>58</v>
      </c>
      <c r="F8" s="15" t="s">
        <v>155</v>
      </c>
      <c r="G8" s="22">
        <f>50</f>
        <v>50</v>
      </c>
      <c r="H8" s="15" t="s">
        <v>160</v>
      </c>
      <c r="I8" s="22">
        <f>0</f>
        <v>0</v>
      </c>
      <c r="J8" s="15" t="s">
        <v>95</v>
      </c>
    </row>
    <row r="9" spans="1:12" ht="17.100000000000001" customHeight="1" x14ac:dyDescent="0.35">
      <c r="A9" s="15">
        <f>24+35+170+8+10+20</f>
        <v>267</v>
      </c>
      <c r="B9" s="46" t="s">
        <v>145</v>
      </c>
      <c r="C9" s="22">
        <f>5+40+19</f>
        <v>64</v>
      </c>
      <c r="D9" s="15" t="s">
        <v>151</v>
      </c>
      <c r="E9" s="22">
        <f>10+20+10+15</f>
        <v>55</v>
      </c>
      <c r="F9" s="15" t="s">
        <v>129</v>
      </c>
      <c r="G9" s="22">
        <f>10+29+25+60+30+75+20</f>
        <v>249</v>
      </c>
      <c r="H9" s="15" t="s">
        <v>161</v>
      </c>
      <c r="I9" s="22">
        <f>9</f>
        <v>9</v>
      </c>
      <c r="J9" s="15" t="s">
        <v>167</v>
      </c>
    </row>
    <row r="10" spans="1:12" ht="17.100000000000001" customHeight="1" x14ac:dyDescent="0.35">
      <c r="A10" s="15">
        <f>3+3+3+3+3+3+3+3+3+3+3+18+15</f>
        <v>66</v>
      </c>
      <c r="B10" s="46" t="s">
        <v>146</v>
      </c>
      <c r="C10" s="22">
        <f>7</f>
        <v>7</v>
      </c>
      <c r="D10" s="15" t="s">
        <v>88</v>
      </c>
      <c r="E10" s="22">
        <f>0</f>
        <v>0</v>
      </c>
      <c r="F10" s="15" t="s">
        <v>156</v>
      </c>
      <c r="G10" s="22">
        <f>6+9+8+10</f>
        <v>33</v>
      </c>
      <c r="H10" s="15" t="s">
        <v>162</v>
      </c>
      <c r="I10" s="58">
        <f>5+40</f>
        <v>45</v>
      </c>
      <c r="J10" s="57" t="s">
        <v>106</v>
      </c>
    </row>
    <row r="11" spans="1:12" ht="17.100000000000001" customHeight="1" x14ac:dyDescent="0.35">
      <c r="A11" s="57">
        <f>45+10</f>
        <v>55</v>
      </c>
      <c r="B11" s="61" t="s">
        <v>147</v>
      </c>
      <c r="C11" s="22">
        <f>5+5</f>
        <v>10</v>
      </c>
      <c r="D11" s="15" t="s">
        <v>152</v>
      </c>
      <c r="E11" s="22">
        <f>15</f>
        <v>15</v>
      </c>
      <c r="F11" s="15" t="s">
        <v>98</v>
      </c>
      <c r="G11" s="58">
        <f>20+5</f>
        <v>25</v>
      </c>
      <c r="H11" s="57" t="s">
        <v>163</v>
      </c>
      <c r="I11" s="22">
        <f>10</f>
        <v>10</v>
      </c>
      <c r="J11" s="15" t="s">
        <v>71</v>
      </c>
    </row>
    <row r="12" spans="1:12" ht="17.100000000000001" customHeight="1" x14ac:dyDescent="0.35">
      <c r="A12" s="15">
        <f>6+25</f>
        <v>31</v>
      </c>
      <c r="B12" s="46" t="s">
        <v>148</v>
      </c>
      <c r="C12" s="22">
        <f>0</f>
        <v>0</v>
      </c>
      <c r="D12" s="15" t="s">
        <v>153</v>
      </c>
      <c r="E12" s="58">
        <f>20+10</f>
        <v>30</v>
      </c>
      <c r="F12" s="57" t="s">
        <v>157</v>
      </c>
      <c r="G12" s="22">
        <v>0</v>
      </c>
      <c r="H12" s="15" t="s">
        <v>97</v>
      </c>
      <c r="I12" s="58">
        <f>7+25+7+25</f>
        <v>64</v>
      </c>
      <c r="J12" s="57" t="s">
        <v>168</v>
      </c>
    </row>
    <row r="13" spans="1:12" ht="17.100000000000001" customHeight="1" x14ac:dyDescent="0.35">
      <c r="A13" s="15"/>
      <c r="B13" s="46"/>
      <c r="C13" s="22"/>
      <c r="D13" s="15"/>
      <c r="E13" s="22"/>
      <c r="F13" s="15"/>
      <c r="G13" s="22"/>
      <c r="H13" s="15"/>
      <c r="I13" s="58">
        <f>25+20</f>
        <v>45</v>
      </c>
      <c r="J13" s="57" t="s">
        <v>258</v>
      </c>
    </row>
    <row r="14" spans="1:12" ht="17.100000000000001" hidden="1" customHeight="1" x14ac:dyDescent="0.35">
      <c r="A14" s="42"/>
      <c r="B14" s="46" t="s">
        <v>49</v>
      </c>
      <c r="C14" s="22"/>
      <c r="D14" s="15" t="s">
        <v>65</v>
      </c>
      <c r="E14" s="22"/>
      <c r="F14" s="15"/>
      <c r="G14" s="22"/>
      <c r="H14" s="15" t="s">
        <v>114</v>
      </c>
      <c r="I14" s="22"/>
      <c r="J14" s="15" t="s">
        <v>130</v>
      </c>
    </row>
    <row r="15" spans="1:12" ht="17.100000000000001" hidden="1" customHeight="1" x14ac:dyDescent="0.35">
      <c r="A15" s="15"/>
      <c r="B15" s="15"/>
      <c r="C15" s="22"/>
      <c r="D15" s="15"/>
      <c r="E15" s="22"/>
      <c r="F15" s="15"/>
      <c r="G15" s="22"/>
      <c r="H15" s="15"/>
      <c r="I15" s="22"/>
      <c r="J15" s="15"/>
    </row>
    <row r="16" spans="1:12" ht="17.100000000000001" customHeight="1" x14ac:dyDescent="0.35">
      <c r="A16" s="28">
        <f>SUM(A2:A12)</f>
        <v>2869</v>
      </c>
      <c r="B16" s="47"/>
      <c r="C16" s="28">
        <f>SUM(C2:C12)</f>
        <v>2341</v>
      </c>
      <c r="D16" s="47"/>
      <c r="E16" s="28">
        <f>SUM(E2:E12)</f>
        <v>1563</v>
      </c>
      <c r="F16" s="47"/>
      <c r="G16" s="28">
        <f>SUM(G2:G12)</f>
        <v>930</v>
      </c>
      <c r="H16" s="47"/>
      <c r="I16" s="28">
        <f>SUM(I2:I13)</f>
        <v>777</v>
      </c>
      <c r="J16" s="47"/>
    </row>
    <row r="17" spans="1:10" ht="17.100000000000001" customHeight="1" x14ac:dyDescent="0.45">
      <c r="A17" s="59">
        <f>A16-A57</f>
        <v>1209</v>
      </c>
      <c r="B17" s="48"/>
      <c r="C17" s="56">
        <f>C16-A57</f>
        <v>681</v>
      </c>
      <c r="D17" s="48"/>
      <c r="E17" s="36">
        <f>E16-A57</f>
        <v>-97</v>
      </c>
      <c r="F17" s="48"/>
      <c r="G17" s="36">
        <f>G16-A57</f>
        <v>-730</v>
      </c>
      <c r="H17" s="48"/>
      <c r="I17" s="36">
        <f>I16-A57</f>
        <v>-883</v>
      </c>
      <c r="J17" s="48"/>
    </row>
    <row r="18" spans="1:10" ht="17.100000000000001" customHeight="1" x14ac:dyDescent="0.35">
      <c r="A18" s="31">
        <v>6</v>
      </c>
      <c r="B18" s="45" t="s">
        <v>43</v>
      </c>
      <c r="C18" s="31">
        <v>7</v>
      </c>
      <c r="D18" s="45" t="s">
        <v>34</v>
      </c>
      <c r="E18" s="31">
        <v>8</v>
      </c>
      <c r="F18" s="45" t="s">
        <v>33</v>
      </c>
      <c r="G18" s="31">
        <v>9</v>
      </c>
      <c r="H18" s="45" t="s">
        <v>39</v>
      </c>
      <c r="I18" s="31">
        <v>10</v>
      </c>
      <c r="J18" s="45" t="s">
        <v>40</v>
      </c>
    </row>
    <row r="19" spans="1:10" ht="17.100000000000001" customHeight="1" x14ac:dyDescent="0.35">
      <c r="A19" s="15">
        <f>25+30+18+6+15+10+20+25+50+65</f>
        <v>264</v>
      </c>
      <c r="B19" s="15" t="s">
        <v>108</v>
      </c>
      <c r="C19" s="22">
        <f>165+188+8+8+178+103+58+8+173+8+8+8+8+8+8+78+78+8+98+150</f>
        <v>1349</v>
      </c>
      <c r="D19" s="15" t="s">
        <v>91</v>
      </c>
      <c r="E19" s="22">
        <f>45+5+55+55+45+45+10+50</f>
        <v>310</v>
      </c>
      <c r="F19" s="15" t="s">
        <v>183</v>
      </c>
      <c r="G19" s="54">
        <f>50</f>
        <v>50</v>
      </c>
      <c r="H19" s="53" t="s">
        <v>126</v>
      </c>
      <c r="I19" s="22">
        <f>40+30+195+53+8+8+15+8+8+8+53+51+3+3+19+20+100</f>
        <v>622</v>
      </c>
      <c r="J19" s="15" t="s">
        <v>192</v>
      </c>
    </row>
    <row r="20" spans="1:10" ht="17.100000000000001" customHeight="1" x14ac:dyDescent="0.35">
      <c r="A20" s="15">
        <f>90+21+8+8+18+41+6+15+30+30+55+103+3+3+61+6+195</f>
        <v>693</v>
      </c>
      <c r="B20" s="15" t="s">
        <v>169</v>
      </c>
      <c r="C20" s="22">
        <f>19+15+15+50+15</f>
        <v>114</v>
      </c>
      <c r="D20" s="15" t="s">
        <v>177</v>
      </c>
      <c r="E20" s="22">
        <f>61+6+6+50+6+45+20+70+65</f>
        <v>329</v>
      </c>
      <c r="F20" s="15" t="s">
        <v>127</v>
      </c>
      <c r="G20" s="22">
        <f>35+16+50+55+80+9+16+60+15</f>
        <v>336</v>
      </c>
      <c r="H20" s="15" t="s">
        <v>121</v>
      </c>
      <c r="I20" s="58">
        <f>60+85+15+5+15</f>
        <v>180</v>
      </c>
      <c r="J20" s="57" t="s">
        <v>50</v>
      </c>
    </row>
    <row r="21" spans="1:10" ht="17.100000000000001" customHeight="1" x14ac:dyDescent="0.35">
      <c r="A21" s="15">
        <f>20+10</f>
        <v>30</v>
      </c>
      <c r="B21" s="15" t="s">
        <v>170</v>
      </c>
      <c r="C21" s="22">
        <f>6</f>
        <v>6</v>
      </c>
      <c r="D21" s="15" t="s">
        <v>178</v>
      </c>
      <c r="E21" s="22">
        <f>20+103+50+45+39+23+18+8+8+23+23+150</f>
        <v>510</v>
      </c>
      <c r="F21" s="15" t="s">
        <v>116</v>
      </c>
      <c r="G21" s="58">
        <f>10+15+10</f>
        <v>35</v>
      </c>
      <c r="H21" s="57" t="s">
        <v>110</v>
      </c>
      <c r="I21" s="22">
        <f>7+18+9+10+35+15+20</f>
        <v>114</v>
      </c>
      <c r="J21" s="15" t="s">
        <v>76</v>
      </c>
    </row>
    <row r="22" spans="1:10" ht="17.100000000000001" customHeight="1" x14ac:dyDescent="0.35">
      <c r="A22" s="15">
        <f>10+85+10+18+50+9+20</f>
        <v>202</v>
      </c>
      <c r="B22" s="15" t="s">
        <v>250</v>
      </c>
      <c r="C22" s="22">
        <f>55+25+6+5+45</f>
        <v>136</v>
      </c>
      <c r="D22" s="15" t="s">
        <v>77</v>
      </c>
      <c r="E22" s="22">
        <f>18+18+25+6+16</f>
        <v>83</v>
      </c>
      <c r="F22" s="15" t="s">
        <v>184</v>
      </c>
      <c r="G22" s="22">
        <f>45</f>
        <v>45</v>
      </c>
      <c r="H22" s="15" t="s">
        <v>69</v>
      </c>
      <c r="I22" s="22">
        <f>6+15+33+10</f>
        <v>64</v>
      </c>
      <c r="J22" s="15" t="s">
        <v>72</v>
      </c>
    </row>
    <row r="23" spans="1:10" ht="17.100000000000001" customHeight="1" x14ac:dyDescent="0.35">
      <c r="A23" s="15">
        <f>7+35+50+18</f>
        <v>110</v>
      </c>
      <c r="B23" s="15" t="s">
        <v>171</v>
      </c>
      <c r="C23" s="22">
        <f>16+40+5+45+5+65</f>
        <v>176</v>
      </c>
      <c r="D23" s="15" t="s">
        <v>109</v>
      </c>
      <c r="E23" s="22">
        <f>10</f>
        <v>10</v>
      </c>
      <c r="F23" s="15" t="s">
        <v>47</v>
      </c>
      <c r="G23" s="22">
        <f>50</f>
        <v>50</v>
      </c>
      <c r="H23" s="15" t="s">
        <v>80</v>
      </c>
      <c r="I23" s="22">
        <f>10+19+18+10+19+16+9</f>
        <v>101</v>
      </c>
      <c r="J23" s="15" t="s">
        <v>193</v>
      </c>
    </row>
    <row r="24" spans="1:10" ht="17.100000000000001" customHeight="1" x14ac:dyDescent="0.35">
      <c r="A24" s="15">
        <f>3+8+3+3+3+8+3+3+7</f>
        <v>41</v>
      </c>
      <c r="B24" s="15" t="s">
        <v>172</v>
      </c>
      <c r="C24" s="58">
        <f>60+10</f>
        <v>70</v>
      </c>
      <c r="D24" s="57" t="s">
        <v>179</v>
      </c>
      <c r="E24" s="22">
        <f>10+50+20+6+65</f>
        <v>151</v>
      </c>
      <c r="F24" s="15" t="s">
        <v>185</v>
      </c>
      <c r="G24" s="22">
        <f>15+15</f>
        <v>30</v>
      </c>
      <c r="H24" s="15" t="s">
        <v>78</v>
      </c>
      <c r="I24" s="58">
        <f>10+20</f>
        <v>30</v>
      </c>
      <c r="J24" s="57" t="s">
        <v>45</v>
      </c>
    </row>
    <row r="25" spans="1:10" ht="17.100000000000001" customHeight="1" x14ac:dyDescent="0.35">
      <c r="A25" s="15"/>
      <c r="B25" s="15" t="s">
        <v>134</v>
      </c>
      <c r="C25" s="22">
        <f>16</f>
        <v>16</v>
      </c>
      <c r="D25" s="15" t="s">
        <v>75</v>
      </c>
      <c r="E25" s="22">
        <f>180+5</f>
        <v>185</v>
      </c>
      <c r="F25" s="15" t="s">
        <v>186</v>
      </c>
      <c r="G25" s="22">
        <f>20</f>
        <v>20</v>
      </c>
      <c r="H25" s="15" t="s">
        <v>53</v>
      </c>
      <c r="I25" s="22">
        <f>10+20</f>
        <v>30</v>
      </c>
      <c r="J25" s="15" t="s">
        <v>194</v>
      </c>
    </row>
    <row r="26" spans="1:10" ht="17.100000000000001" customHeight="1" x14ac:dyDescent="0.35">
      <c r="A26" s="15">
        <f>6</f>
        <v>6</v>
      </c>
      <c r="B26" s="15" t="s">
        <v>173</v>
      </c>
      <c r="C26" s="22">
        <f>40+6+95+75+25</f>
        <v>241</v>
      </c>
      <c r="D26" s="15" t="s">
        <v>180</v>
      </c>
      <c r="E26">
        <f>150+18+5</f>
        <v>173</v>
      </c>
      <c r="F26" s="15" t="s">
        <v>187</v>
      </c>
      <c r="G26" s="22">
        <f>20</f>
        <v>20</v>
      </c>
      <c r="H26" s="15" t="s">
        <v>70</v>
      </c>
      <c r="I26" s="22">
        <f>35</f>
        <v>35</v>
      </c>
      <c r="J26" s="15" t="s">
        <v>46</v>
      </c>
    </row>
    <row r="27" spans="1:10" ht="17.100000000000001" customHeight="1" x14ac:dyDescent="0.35">
      <c r="A27" s="15">
        <f>9+6+19+6+15</f>
        <v>55</v>
      </c>
      <c r="B27" s="15" t="s">
        <v>174</v>
      </c>
      <c r="C27" s="58">
        <f>45+164+19+6+10</f>
        <v>244</v>
      </c>
      <c r="D27" s="57" t="s">
        <v>104</v>
      </c>
      <c r="E27" s="22">
        <f>5+5+5+5+11+5+35+5+25+5+35</f>
        <v>141</v>
      </c>
      <c r="F27" s="15" t="s">
        <v>54</v>
      </c>
      <c r="G27" s="22">
        <f>10</f>
        <v>10</v>
      </c>
      <c r="H27" s="15" t="s">
        <v>190</v>
      </c>
      <c r="I27" s="22">
        <f>6+18+10</f>
        <v>34</v>
      </c>
      <c r="J27" s="15" t="s">
        <v>119</v>
      </c>
    </row>
    <row r="28" spans="1:10" ht="17.100000000000001" customHeight="1" x14ac:dyDescent="0.35">
      <c r="A28" s="15">
        <f>6+6+6+40+6</f>
        <v>64</v>
      </c>
      <c r="B28" s="15" t="s">
        <v>55</v>
      </c>
      <c r="C28" s="22">
        <f>50+9</f>
        <v>59</v>
      </c>
      <c r="D28" s="15" t="s">
        <v>113</v>
      </c>
      <c r="E28" s="22">
        <f>50+5+5</f>
        <v>60</v>
      </c>
      <c r="F28" s="15" t="s">
        <v>90</v>
      </c>
      <c r="G28" s="22">
        <f>5+20+5</f>
        <v>30</v>
      </c>
      <c r="H28" s="15" t="s">
        <v>64</v>
      </c>
      <c r="I28" s="22">
        <f>55+10</f>
        <v>65</v>
      </c>
      <c r="J28" s="15" t="s">
        <v>195</v>
      </c>
    </row>
    <row r="29" spans="1:10" ht="17.100000000000001" customHeight="1" x14ac:dyDescent="0.35">
      <c r="A29" s="15">
        <f>10+40+50+7</f>
        <v>107</v>
      </c>
      <c r="B29" s="15" t="s">
        <v>175</v>
      </c>
      <c r="C29" s="22">
        <f>45+50+20</f>
        <v>115</v>
      </c>
      <c r="D29" s="15" t="s">
        <v>181</v>
      </c>
      <c r="E29" s="22">
        <f>20</f>
        <v>20</v>
      </c>
      <c r="F29" s="15" t="s">
        <v>188</v>
      </c>
      <c r="G29" s="22">
        <f>5+5</f>
        <v>10</v>
      </c>
      <c r="H29" s="15" t="s">
        <v>191</v>
      </c>
      <c r="I29" s="22">
        <f>25+6+15+90</f>
        <v>136</v>
      </c>
      <c r="J29" s="15" t="s">
        <v>196</v>
      </c>
    </row>
    <row r="30" spans="1:10" ht="17.100000000000001" hidden="1" customHeight="1" x14ac:dyDescent="0.35">
      <c r="A30" s="15"/>
      <c r="B30" s="15" t="s">
        <v>176</v>
      </c>
      <c r="C30" s="22"/>
      <c r="D30" s="15" t="s">
        <v>182</v>
      </c>
      <c r="E30" s="22"/>
      <c r="F30" s="15" t="s">
        <v>189</v>
      </c>
      <c r="G30" s="37"/>
      <c r="H30" s="15" t="s">
        <v>56</v>
      </c>
      <c r="I30" s="37"/>
      <c r="J30" s="15" t="s">
        <v>197</v>
      </c>
    </row>
    <row r="31" spans="1:10" ht="17.100000000000001" hidden="1" customHeight="1" x14ac:dyDescent="0.35">
      <c r="A31" s="42"/>
      <c r="B31" s="15" t="s">
        <v>57</v>
      </c>
      <c r="C31" s="22"/>
      <c r="D31" s="15" t="s">
        <v>75</v>
      </c>
      <c r="E31" s="22"/>
      <c r="F31" s="15" t="s">
        <v>99</v>
      </c>
      <c r="G31" s="37"/>
      <c r="H31" s="15" t="s">
        <v>120</v>
      </c>
      <c r="I31" s="37"/>
      <c r="J31" s="15" t="s">
        <v>138</v>
      </c>
    </row>
    <row r="32" spans="1:10" ht="17.100000000000001" hidden="1" customHeight="1" x14ac:dyDescent="0.35">
      <c r="A32" s="15"/>
      <c r="B32" s="15"/>
      <c r="C32" s="22"/>
      <c r="D32" s="15"/>
      <c r="E32" s="22"/>
      <c r="F32" s="15"/>
      <c r="G32" s="22"/>
      <c r="H32" s="15"/>
      <c r="I32" s="22"/>
      <c r="J32" s="15"/>
    </row>
    <row r="33" spans="1:10" ht="17.100000000000001" customHeight="1" x14ac:dyDescent="0.35">
      <c r="A33" s="15">
        <f>40</f>
        <v>40</v>
      </c>
      <c r="B33" s="15" t="s">
        <v>176</v>
      </c>
      <c r="C33" s="22">
        <f>16+15+9+5+90+10</f>
        <v>145</v>
      </c>
      <c r="D33" s="15" t="s">
        <v>182</v>
      </c>
      <c r="E33" s="58">
        <f>70+40+10</f>
        <v>120</v>
      </c>
      <c r="F33" s="57" t="s">
        <v>189</v>
      </c>
      <c r="G33" s="22">
        <f>80+20+6</f>
        <v>106</v>
      </c>
      <c r="H33" s="15" t="s">
        <v>56</v>
      </c>
      <c r="I33" s="22">
        <f>20+6</f>
        <v>26</v>
      </c>
      <c r="J33" s="15" t="s">
        <v>197</v>
      </c>
    </row>
    <row r="34" spans="1:10" ht="17.100000000000001" customHeight="1" x14ac:dyDescent="0.35">
      <c r="A34" s="28">
        <f>SUM(A19:A33)</f>
        <v>1612</v>
      </c>
      <c r="B34" s="47"/>
      <c r="C34" s="28">
        <f>SUM(C19:C33)</f>
        <v>2671</v>
      </c>
      <c r="D34" s="47"/>
      <c r="E34" s="28">
        <f>SUM(E19:E33)</f>
        <v>2092</v>
      </c>
      <c r="F34" s="47"/>
      <c r="G34" s="28">
        <f>SUM(G19:G33)</f>
        <v>742</v>
      </c>
      <c r="H34" s="47"/>
      <c r="I34" s="28">
        <f>SUM(I19:I33)</f>
        <v>1437</v>
      </c>
      <c r="J34" s="47"/>
    </row>
    <row r="35" spans="1:10" ht="17.100000000000001" customHeight="1" x14ac:dyDescent="0.45">
      <c r="A35" s="50">
        <f>A34-A57</f>
        <v>-48</v>
      </c>
      <c r="B35" s="48"/>
      <c r="C35" s="40">
        <f>C34-A57</f>
        <v>1011</v>
      </c>
      <c r="D35" s="48"/>
      <c r="E35" s="60">
        <f>E34-A57</f>
        <v>432</v>
      </c>
      <c r="F35" s="48"/>
      <c r="G35" s="36">
        <f>G34-A57</f>
        <v>-918</v>
      </c>
      <c r="H35" s="48"/>
      <c r="I35" s="36">
        <f>I34-A57</f>
        <v>-223</v>
      </c>
      <c r="J35" s="48"/>
    </row>
    <row r="36" spans="1:10" ht="17.100000000000001" customHeight="1" x14ac:dyDescent="0.35">
      <c r="A36" s="31">
        <v>11</v>
      </c>
      <c r="B36" s="45" t="s">
        <v>32</v>
      </c>
      <c r="C36" s="31">
        <v>12</v>
      </c>
      <c r="D36" s="45" t="s">
        <v>35</v>
      </c>
      <c r="E36" s="31">
        <v>13</v>
      </c>
      <c r="F36" s="45" t="s">
        <v>42</v>
      </c>
      <c r="G36" s="31">
        <v>14</v>
      </c>
      <c r="H36" s="45" t="s">
        <v>36</v>
      </c>
      <c r="I36" s="31">
        <v>15</v>
      </c>
      <c r="J36" s="45" t="s">
        <v>38</v>
      </c>
    </row>
    <row r="37" spans="1:10" ht="17.100000000000001" customHeight="1" x14ac:dyDescent="0.35">
      <c r="A37" s="57">
        <f>45</f>
        <v>45</v>
      </c>
      <c r="B37" s="57" t="s">
        <v>198</v>
      </c>
      <c r="C37" s="22">
        <f>20+30+25+10+25+150+50+15+30+50+65+15+55+75</f>
        <v>615</v>
      </c>
      <c r="D37" s="15" t="s">
        <v>67</v>
      </c>
      <c r="E37" s="22">
        <f>65+24+19+10+7+10+55+19+35+18+90</f>
        <v>352</v>
      </c>
      <c r="F37" s="15" t="s">
        <v>100</v>
      </c>
      <c r="G37" s="22">
        <f>15+5+50+45+19</f>
        <v>134</v>
      </c>
      <c r="H37" s="15" t="s">
        <v>131</v>
      </c>
      <c r="I37" s="22">
        <f>23+9+25+48+9+6+15+6+6+6+41+178+15+30+26+6+6+22+3+175</f>
        <v>655</v>
      </c>
      <c r="J37" s="15" t="s">
        <v>220</v>
      </c>
    </row>
    <row r="38" spans="1:10" ht="17.100000000000001" customHeight="1" x14ac:dyDescent="0.35">
      <c r="A38" s="15">
        <f>53+45+7+150+5+20</f>
        <v>280</v>
      </c>
      <c r="B38" s="15" t="s">
        <v>101</v>
      </c>
      <c r="C38" s="22">
        <f>203+32+25+25+18+30+3+11+8+28+58+14+48+38+8+8+58+8+205</f>
        <v>828</v>
      </c>
      <c r="D38" s="15" t="s">
        <v>203</v>
      </c>
      <c r="E38" s="22">
        <f>25+7+80+18+7+50+10</f>
        <v>197</v>
      </c>
      <c r="F38" s="15" t="s">
        <v>208</v>
      </c>
      <c r="G38" s="22">
        <f>8+50+30+45</f>
        <v>133</v>
      </c>
      <c r="H38" s="15" t="s">
        <v>94</v>
      </c>
      <c r="I38" s="41">
        <f>10+8+60+70+25</f>
        <v>173</v>
      </c>
      <c r="J38" s="15" t="s">
        <v>66</v>
      </c>
    </row>
    <row r="39" spans="1:10" ht="17.100000000000001" customHeight="1" x14ac:dyDescent="0.35">
      <c r="A39" s="57">
        <f>45+50+80+30</f>
        <v>205</v>
      </c>
      <c r="B39" s="57" t="s">
        <v>199</v>
      </c>
      <c r="C39" s="22">
        <f>23+48+33+8+33+8+8+68+8+8+8+8+40</f>
        <v>301</v>
      </c>
      <c r="D39" s="15" t="s">
        <v>93</v>
      </c>
      <c r="E39" s="22">
        <f>15+15+155+80+50+30</f>
        <v>345</v>
      </c>
      <c r="F39" s="15" t="s">
        <v>52</v>
      </c>
      <c r="G39" s="22">
        <f>50+153+3+3+9+35+55+60+35+120</f>
        <v>523</v>
      </c>
      <c r="H39" s="15" t="s">
        <v>215</v>
      </c>
      <c r="I39" s="22">
        <f>50+15+45+25+50+165+25</f>
        <v>375</v>
      </c>
      <c r="J39" s="15" t="s">
        <v>221</v>
      </c>
    </row>
    <row r="40" spans="1:10" ht="17.100000000000001" customHeight="1" x14ac:dyDescent="0.35">
      <c r="A40" s="15">
        <f>60</f>
        <v>60</v>
      </c>
      <c r="B40" s="15" t="s">
        <v>84</v>
      </c>
      <c r="C40" s="22">
        <f>40+25+40+16+6+60</f>
        <v>187</v>
      </c>
      <c r="D40" s="15" t="s">
        <v>59</v>
      </c>
      <c r="E40" s="22">
        <f>5</f>
        <v>5</v>
      </c>
      <c r="F40" s="15" t="s">
        <v>209</v>
      </c>
      <c r="G40" s="22">
        <f>9+10+21+20+95+10+15</f>
        <v>180</v>
      </c>
      <c r="H40" s="15" t="s">
        <v>216</v>
      </c>
      <c r="I40" s="58">
        <f>90+86+5</f>
        <v>181</v>
      </c>
      <c r="J40" s="57" t="s">
        <v>222</v>
      </c>
    </row>
    <row r="41" spans="1:10" ht="17.100000000000001" customHeight="1" x14ac:dyDescent="0.35">
      <c r="A41" s="15">
        <f>6+20+15</f>
        <v>41</v>
      </c>
      <c r="B41" s="15" t="s">
        <v>86</v>
      </c>
      <c r="C41" s="22">
        <f>19+55+7</f>
        <v>81</v>
      </c>
      <c r="D41" s="15" t="s">
        <v>135</v>
      </c>
      <c r="E41" s="22">
        <f>10+15</f>
        <v>25</v>
      </c>
      <c r="F41" s="15" t="s">
        <v>124</v>
      </c>
      <c r="G41" s="22">
        <f>8</f>
        <v>8</v>
      </c>
      <c r="H41" s="15" t="s">
        <v>128</v>
      </c>
      <c r="I41" s="22">
        <f>36+20+5+5+5+5+10+25+9+20</f>
        <v>140</v>
      </c>
      <c r="J41" s="15" t="s">
        <v>223</v>
      </c>
    </row>
    <row r="42" spans="1:10" ht="17.100000000000001" customHeight="1" x14ac:dyDescent="0.35">
      <c r="A42" s="15">
        <f>7+8</f>
        <v>15</v>
      </c>
      <c r="B42" s="15" t="s">
        <v>133</v>
      </c>
      <c r="C42" s="22">
        <f>19+24+60+50+30+25</f>
        <v>208</v>
      </c>
      <c r="D42" s="15" t="s">
        <v>79</v>
      </c>
      <c r="E42" s="22">
        <f>45+50+7</f>
        <v>102</v>
      </c>
      <c r="F42" s="15" t="s">
        <v>117</v>
      </c>
      <c r="G42" s="22">
        <f>70+18+165+20</f>
        <v>273</v>
      </c>
      <c r="H42" s="15" t="s">
        <v>60</v>
      </c>
      <c r="I42" s="58">
        <f>70+30+10</f>
        <v>110</v>
      </c>
      <c r="J42" s="57" t="s">
        <v>92</v>
      </c>
    </row>
    <row r="43" spans="1:10" ht="17.100000000000001" customHeight="1" x14ac:dyDescent="0.35">
      <c r="A43" s="15">
        <f>0</f>
        <v>0</v>
      </c>
      <c r="B43" s="15" t="s">
        <v>48</v>
      </c>
      <c r="C43" s="22">
        <f>8+50</f>
        <v>58</v>
      </c>
      <c r="D43" s="15" t="s">
        <v>73</v>
      </c>
      <c r="E43" s="22">
        <f>35</f>
        <v>35</v>
      </c>
      <c r="F43" s="15" t="s">
        <v>210</v>
      </c>
      <c r="G43" s="22">
        <f>15+18</f>
        <v>33</v>
      </c>
      <c r="H43" s="15" t="s">
        <v>123</v>
      </c>
      <c r="I43" s="22">
        <f>35</f>
        <v>35</v>
      </c>
      <c r="J43" s="15" t="s">
        <v>224</v>
      </c>
    </row>
    <row r="44" spans="1:10" ht="17.100000000000001" customHeight="1" x14ac:dyDescent="0.35">
      <c r="A44" s="15">
        <f>15+5+6+6+50</f>
        <v>82</v>
      </c>
      <c r="B44" s="15" t="s">
        <v>200</v>
      </c>
      <c r="C44" s="22">
        <f>15+10+30+35+10+16+18+30+5</f>
        <v>169</v>
      </c>
      <c r="D44" s="15" t="s">
        <v>204</v>
      </c>
      <c r="E44" s="22">
        <f>15+20</f>
        <v>35</v>
      </c>
      <c r="F44" s="15" t="s">
        <v>211</v>
      </c>
      <c r="G44" s="22">
        <f>20</f>
        <v>20</v>
      </c>
      <c r="H44" s="15" t="s">
        <v>105</v>
      </c>
      <c r="I44" s="22">
        <f>8</f>
        <v>8</v>
      </c>
      <c r="J44" s="15" t="s">
        <v>225</v>
      </c>
    </row>
    <row r="45" spans="1:10" ht="17.100000000000001" customHeight="1" x14ac:dyDescent="0.35">
      <c r="A45" s="57">
        <f>50+15</f>
        <v>65</v>
      </c>
      <c r="B45" s="57" t="s">
        <v>201</v>
      </c>
      <c r="C45" s="22">
        <f>10+20</f>
        <v>30</v>
      </c>
      <c r="D45" s="15" t="s">
        <v>205</v>
      </c>
      <c r="E45" s="22">
        <f>50+10</f>
        <v>60</v>
      </c>
      <c r="F45" s="15" t="s">
        <v>136</v>
      </c>
      <c r="G45" s="22">
        <f>15+23+5+9+35</f>
        <v>87</v>
      </c>
      <c r="H45" s="15" t="s">
        <v>217</v>
      </c>
      <c r="I45" s="22">
        <f>11</f>
        <v>11</v>
      </c>
      <c r="J45" s="15" t="s">
        <v>226</v>
      </c>
    </row>
    <row r="46" spans="1:10" ht="17.100000000000001" customHeight="1" x14ac:dyDescent="0.35">
      <c r="A46" s="57">
        <f>0</f>
        <v>0</v>
      </c>
      <c r="B46" s="57" t="s">
        <v>118</v>
      </c>
      <c r="C46" s="22">
        <f>20+20+25+10+10</f>
        <v>85</v>
      </c>
      <c r="D46" s="15" t="s">
        <v>137</v>
      </c>
      <c r="E46" s="22">
        <f>5+5</f>
        <v>10</v>
      </c>
      <c r="F46" s="15" t="s">
        <v>212</v>
      </c>
      <c r="G46" s="22"/>
      <c r="H46" s="15" t="s">
        <v>218</v>
      </c>
      <c r="I46" s="22">
        <f>0</f>
        <v>0</v>
      </c>
      <c r="J46" s="15" t="s">
        <v>81</v>
      </c>
    </row>
    <row r="47" spans="1:10" ht="17.100000000000001" customHeight="1" x14ac:dyDescent="0.35">
      <c r="A47" s="15">
        <f>0</f>
        <v>0</v>
      </c>
      <c r="B47" s="15" t="s">
        <v>74</v>
      </c>
      <c r="C47" s="22">
        <f>0</f>
        <v>0</v>
      </c>
      <c r="D47" s="15" t="s">
        <v>206</v>
      </c>
      <c r="E47" s="22">
        <f>0</f>
        <v>0</v>
      </c>
      <c r="F47" s="15" t="s">
        <v>213</v>
      </c>
      <c r="G47" s="22">
        <f>6+7+40+10+30</f>
        <v>93</v>
      </c>
      <c r="H47" s="15" t="s">
        <v>219</v>
      </c>
      <c r="I47" s="22">
        <f>0</f>
        <v>0</v>
      </c>
      <c r="J47" s="15" t="s">
        <v>89</v>
      </c>
    </row>
    <row r="48" spans="1:10" ht="17.100000000000001" customHeight="1" x14ac:dyDescent="0.35">
      <c r="A48" s="15">
        <f>15</f>
        <v>15</v>
      </c>
      <c r="B48" s="15" t="s">
        <v>202</v>
      </c>
      <c r="C48" s="58">
        <f>8+40</f>
        <v>48</v>
      </c>
      <c r="D48" s="57" t="s">
        <v>207</v>
      </c>
      <c r="E48" s="22">
        <f>50+8+18</f>
        <v>76</v>
      </c>
      <c r="F48" s="15" t="s">
        <v>214</v>
      </c>
      <c r="G48" s="22">
        <f>6+6</f>
        <v>12</v>
      </c>
      <c r="H48" s="15" t="s">
        <v>120</v>
      </c>
      <c r="I48" s="22">
        <f>22</f>
        <v>22</v>
      </c>
      <c r="J48" s="15" t="s">
        <v>96</v>
      </c>
    </row>
    <row r="49" spans="1:10" ht="17.100000000000001" hidden="1" customHeight="1" x14ac:dyDescent="0.35">
      <c r="A49" s="27"/>
      <c r="B49" s="15" t="s">
        <v>74</v>
      </c>
      <c r="C49" s="27"/>
      <c r="D49" s="15" t="s">
        <v>206</v>
      </c>
      <c r="E49" s="27"/>
      <c r="F49" s="15" t="s">
        <v>213</v>
      </c>
      <c r="G49" s="27"/>
      <c r="H49" s="15" t="s">
        <v>219</v>
      </c>
      <c r="I49" s="27"/>
      <c r="J49" s="15" t="s">
        <v>89</v>
      </c>
    </row>
    <row r="50" spans="1:10" ht="17.100000000000001" hidden="1" customHeight="1" x14ac:dyDescent="0.35">
      <c r="A50" s="27"/>
      <c r="B50" s="15" t="s">
        <v>202</v>
      </c>
      <c r="C50" s="27"/>
      <c r="D50" s="15" t="s">
        <v>207</v>
      </c>
      <c r="E50" s="27"/>
      <c r="F50" s="15" t="s">
        <v>214</v>
      </c>
      <c r="G50" s="27"/>
      <c r="H50" s="15" t="s">
        <v>120</v>
      </c>
      <c r="I50" s="27"/>
      <c r="J50" s="15" t="s">
        <v>96</v>
      </c>
    </row>
    <row r="51" spans="1:10" ht="17.100000000000001" hidden="1" customHeight="1" x14ac:dyDescent="0.35">
      <c r="A51" s="38"/>
      <c r="B51" s="17"/>
      <c r="C51" s="27"/>
      <c r="D51" s="17"/>
      <c r="E51" s="27"/>
      <c r="F51" s="17"/>
      <c r="G51" s="27"/>
      <c r="H51" s="17"/>
      <c r="I51" s="27"/>
      <c r="J51" s="17"/>
    </row>
    <row r="52" spans="1:10" ht="17.100000000000001" hidden="1" customHeight="1" x14ac:dyDescent="0.35">
      <c r="A52" s="27"/>
      <c r="B52" s="17"/>
      <c r="C52" s="27"/>
      <c r="D52" s="17"/>
      <c r="E52" s="27"/>
      <c r="F52" s="17"/>
      <c r="G52" s="27"/>
      <c r="H52" s="17"/>
      <c r="I52" s="27"/>
      <c r="J52" s="17"/>
    </row>
    <row r="53" spans="1:10" ht="17.100000000000001" customHeight="1" x14ac:dyDescent="0.35">
      <c r="A53" s="28">
        <f>SUM(A37:A48)</f>
        <v>808</v>
      </c>
      <c r="B53" s="24"/>
      <c r="C53" s="28">
        <f>SUM(C37:C48)</f>
        <v>2610</v>
      </c>
      <c r="D53" s="24"/>
      <c r="E53" s="28">
        <f>SUM(E37:E48)</f>
        <v>1242</v>
      </c>
      <c r="F53" s="17"/>
      <c r="G53" s="28">
        <f>SUM(G37:G48)</f>
        <v>1496</v>
      </c>
      <c r="H53" s="24"/>
      <c r="I53" s="28">
        <f>SUM(I37:I48)</f>
        <v>1710</v>
      </c>
      <c r="J53" s="23"/>
    </row>
    <row r="54" spans="1:10" ht="17.100000000000001" customHeight="1" x14ac:dyDescent="0.35">
      <c r="A54" s="39">
        <f>A53-A57</f>
        <v>-852</v>
      </c>
      <c r="B54" s="25"/>
      <c r="C54" s="42">
        <f>C53-A57</f>
        <v>950</v>
      </c>
      <c r="D54" s="25"/>
      <c r="E54" s="39">
        <f>E53-A57</f>
        <v>-418</v>
      </c>
      <c r="F54" s="25"/>
      <c r="G54" s="39">
        <f>G53-A57</f>
        <v>-164</v>
      </c>
      <c r="H54" s="25"/>
      <c r="I54" s="42">
        <f>I53-A57</f>
        <v>50</v>
      </c>
      <c r="J54" s="23"/>
    </row>
    <row r="55" spans="1:10" ht="17.100000000000001" customHeight="1" x14ac:dyDescent="0.35">
      <c r="A55" s="29"/>
      <c r="G55" t="s">
        <v>28</v>
      </c>
    </row>
    <row r="56" spans="1:10" ht="17.100000000000001" customHeight="1" x14ac:dyDescent="0.35">
      <c r="A56" s="30">
        <f>(A16+C16+E16+G16+I16+A34+C34+E34+G34+I34+A53+C53+E53+G53+I53)</f>
        <v>24900</v>
      </c>
      <c r="B56" s="49" t="s">
        <v>27</v>
      </c>
    </row>
    <row r="57" spans="1:10" ht="17.100000000000001" customHeight="1" x14ac:dyDescent="0.35">
      <c r="A57" s="29">
        <f>A56/15</f>
        <v>1660</v>
      </c>
      <c r="B57" s="26"/>
      <c r="C57" s="26"/>
      <c r="D57" s="26"/>
      <c r="E57" s="26"/>
      <c r="F57" s="26"/>
      <c r="G57" s="26"/>
      <c r="H57" s="26"/>
      <c r="I57" s="26"/>
      <c r="J57" s="26"/>
    </row>
  </sheetData>
  <phoneticPr fontId="4" type="noConversion"/>
  <printOptions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headerFooter alignWithMargins="0">
    <oddHeader xml:space="preserve">&amp;CTour de France 2023
</oddHeader>
    <oddFooter>&amp;CSchlussstand
&amp;Rg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34"/>
  <sheetViews>
    <sheetView workbookViewId="0">
      <selection activeCell="AA24" sqref="AA24"/>
    </sheetView>
  </sheetViews>
  <sheetFormatPr baseColWidth="10" defaultColWidth="5.7109375" defaultRowHeight="26.1" customHeight="1" x14ac:dyDescent="0.65"/>
  <cols>
    <col min="1" max="1" width="25.7109375" style="1" customWidth="1"/>
    <col min="2" max="21" width="6.5703125" style="1" hidden="1" customWidth="1"/>
    <col min="22" max="22" width="17.7109375" style="1" customWidth="1"/>
    <col min="23" max="26" width="18.85546875" style="1" customWidth="1"/>
    <col min="27" max="27" width="21.42578125" style="1" customWidth="1"/>
    <col min="28" max="28" width="6.5703125" style="1" customWidth="1"/>
    <col min="29" max="16384" width="5.7109375" style="1"/>
  </cols>
  <sheetData>
    <row r="1" spans="1:28" ht="30.75" thickBot="1" x14ac:dyDescent="0.9">
      <c r="A1" s="35" t="s">
        <v>227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ht="19.5" thickBot="1" x14ac:dyDescent="0.7">
      <c r="A2" s="2"/>
      <c r="B2" s="3">
        <v>250</v>
      </c>
      <c r="C2" s="3">
        <v>150</v>
      </c>
      <c r="D2" s="3">
        <v>100</v>
      </c>
      <c r="E2" s="3">
        <v>95</v>
      </c>
      <c r="F2" s="3">
        <v>90</v>
      </c>
      <c r="G2" s="3">
        <v>85</v>
      </c>
      <c r="H2" s="3">
        <v>80</v>
      </c>
      <c r="I2" s="3">
        <v>75</v>
      </c>
      <c r="J2" s="3">
        <v>70</v>
      </c>
      <c r="K2" s="3">
        <v>65</v>
      </c>
      <c r="L2" s="3">
        <v>60</v>
      </c>
      <c r="M2" s="3">
        <v>55</v>
      </c>
      <c r="N2" s="3">
        <v>50</v>
      </c>
      <c r="O2" s="3">
        <v>45</v>
      </c>
      <c r="P2" s="3">
        <v>40</v>
      </c>
      <c r="Q2" s="3">
        <v>35</v>
      </c>
      <c r="R2" s="3">
        <v>30</v>
      </c>
      <c r="S2" s="3">
        <v>25</v>
      </c>
      <c r="T2" s="3">
        <v>20</v>
      </c>
      <c r="U2" s="3">
        <v>15</v>
      </c>
      <c r="V2" s="12">
        <v>50</v>
      </c>
      <c r="W2" s="12">
        <v>5</v>
      </c>
      <c r="X2" s="12">
        <v>15</v>
      </c>
      <c r="Y2" s="12">
        <v>20</v>
      </c>
      <c r="Z2" s="12">
        <v>10</v>
      </c>
      <c r="AA2" s="12">
        <v>20</v>
      </c>
      <c r="AB2" s="4"/>
    </row>
    <row r="3" spans="1:28" ht="19.5" thickBot="1" x14ac:dyDescent="0.7">
      <c r="A3" s="5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6" t="s">
        <v>19</v>
      </c>
      <c r="V3" s="13" t="s">
        <v>228</v>
      </c>
      <c r="W3" s="14" t="s">
        <v>20</v>
      </c>
      <c r="X3" s="14" t="s">
        <v>22</v>
      </c>
      <c r="Y3" s="14" t="s">
        <v>29</v>
      </c>
      <c r="Z3" s="14" t="s">
        <v>30</v>
      </c>
      <c r="AA3" s="14" t="s">
        <v>21</v>
      </c>
      <c r="AB3" s="4"/>
    </row>
    <row r="4" spans="1:28" ht="23.1" customHeight="1" thickBot="1" x14ac:dyDescent="0.7">
      <c r="A4" s="43" t="s">
        <v>230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" t="s">
        <v>251</v>
      </c>
      <c r="W4" s="12" t="s">
        <v>252</v>
      </c>
      <c r="X4" s="12" t="s">
        <v>253</v>
      </c>
      <c r="Y4" s="55"/>
      <c r="Z4" s="55"/>
      <c r="AA4" s="52" t="s">
        <v>254</v>
      </c>
      <c r="AB4" s="4"/>
    </row>
    <row r="5" spans="1:28" ht="23.1" customHeight="1" thickBot="1" x14ac:dyDescent="0.7">
      <c r="A5" s="43" t="s">
        <v>139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2" t="s">
        <v>261</v>
      </c>
      <c r="W5" s="12" t="s">
        <v>262</v>
      </c>
      <c r="X5" s="12" t="s">
        <v>263</v>
      </c>
      <c r="Y5" s="12" t="s">
        <v>264</v>
      </c>
      <c r="Z5" s="12" t="s">
        <v>265</v>
      </c>
      <c r="AA5" s="12" t="s">
        <v>266</v>
      </c>
    </row>
    <row r="6" spans="1:28" ht="23.1" customHeight="1" thickBot="1" x14ac:dyDescent="0.7">
      <c r="A6" s="43" t="s">
        <v>140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2" t="s">
        <v>267</v>
      </c>
      <c r="W6" s="12" t="s">
        <v>268</v>
      </c>
      <c r="X6" s="12" t="s">
        <v>269</v>
      </c>
      <c r="Y6" s="12" t="s">
        <v>270</v>
      </c>
      <c r="Z6" s="12" t="s">
        <v>271</v>
      </c>
      <c r="AA6" s="12" t="s">
        <v>272</v>
      </c>
    </row>
    <row r="7" spans="1:28" ht="23.1" customHeight="1" thickBot="1" x14ac:dyDescent="0.7">
      <c r="A7" s="43" t="s">
        <v>231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2" t="s">
        <v>273</v>
      </c>
      <c r="W7" s="12" t="s">
        <v>274</v>
      </c>
      <c r="X7" s="12" t="s">
        <v>278</v>
      </c>
      <c r="Y7" s="12" t="s">
        <v>275</v>
      </c>
      <c r="Z7" s="12" t="s">
        <v>276</v>
      </c>
      <c r="AA7" s="12" t="s">
        <v>277</v>
      </c>
    </row>
    <row r="8" spans="1:28" ht="23.1" customHeight="1" thickBot="1" x14ac:dyDescent="0.7">
      <c r="A8" s="43" t="s">
        <v>232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2" t="s">
        <v>281</v>
      </c>
      <c r="W8" s="12" t="s">
        <v>282</v>
      </c>
      <c r="X8" s="12" t="s">
        <v>283</v>
      </c>
      <c r="Y8" s="12" t="s">
        <v>271</v>
      </c>
      <c r="Z8" s="12" t="s">
        <v>284</v>
      </c>
      <c r="AA8" s="12" t="s">
        <v>285</v>
      </c>
    </row>
    <row r="9" spans="1:28" ht="23.1" customHeight="1" thickBot="1" x14ac:dyDescent="0.7">
      <c r="A9" s="43" t="s">
        <v>233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2" t="s">
        <v>286</v>
      </c>
      <c r="W9" s="12" t="s">
        <v>287</v>
      </c>
      <c r="X9" s="12" t="s">
        <v>288</v>
      </c>
      <c r="Y9" s="12" t="s">
        <v>289</v>
      </c>
      <c r="Z9" s="12" t="s">
        <v>290</v>
      </c>
      <c r="AA9" s="12" t="s">
        <v>285</v>
      </c>
    </row>
    <row r="10" spans="1:28" ht="23.1" customHeight="1" thickBot="1" x14ac:dyDescent="0.7">
      <c r="A10" s="43" t="s">
        <v>234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2" t="s">
        <v>291</v>
      </c>
      <c r="W10" s="12" t="s">
        <v>268</v>
      </c>
      <c r="X10" s="12" t="s">
        <v>292</v>
      </c>
      <c r="Y10" s="12" t="s">
        <v>294</v>
      </c>
      <c r="Z10" s="12" t="s">
        <v>293</v>
      </c>
      <c r="AA10" s="12" t="s">
        <v>295</v>
      </c>
    </row>
    <row r="11" spans="1:28" ht="23.1" customHeight="1" thickBot="1" x14ac:dyDescent="0.7">
      <c r="A11" s="43" t="s">
        <v>235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2" t="s">
        <v>298</v>
      </c>
      <c r="W11" s="12" t="s">
        <v>299</v>
      </c>
      <c r="X11" s="12" t="s">
        <v>300</v>
      </c>
      <c r="Y11" s="12" t="s">
        <v>301</v>
      </c>
      <c r="Z11" s="12" t="s">
        <v>291</v>
      </c>
      <c r="AA11" s="12" t="s">
        <v>302</v>
      </c>
    </row>
    <row r="12" spans="1:28" ht="23.1" customHeight="1" thickBot="1" x14ac:dyDescent="0.7">
      <c r="A12" s="43" t="s">
        <v>236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2" t="s">
        <v>304</v>
      </c>
      <c r="W12" s="12" t="s">
        <v>305</v>
      </c>
      <c r="X12" s="12" t="s">
        <v>263</v>
      </c>
      <c r="Y12" s="12" t="s">
        <v>306</v>
      </c>
      <c r="Z12" s="12" t="s">
        <v>307</v>
      </c>
      <c r="AA12" s="12" t="s">
        <v>308</v>
      </c>
    </row>
    <row r="13" spans="1:28" ht="23.1" customHeight="1" thickBot="1" x14ac:dyDescent="0.7">
      <c r="A13" s="43" t="s">
        <v>237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2" t="s">
        <v>278</v>
      </c>
      <c r="W13" s="12" t="s">
        <v>287</v>
      </c>
      <c r="X13" s="12" t="s">
        <v>309</v>
      </c>
      <c r="Y13" s="12" t="s">
        <v>310</v>
      </c>
      <c r="Z13" s="12" t="s">
        <v>311</v>
      </c>
      <c r="AA13" s="12" t="s">
        <v>312</v>
      </c>
    </row>
    <row r="14" spans="1:28" ht="23.1" customHeight="1" thickBot="1" x14ac:dyDescent="0.7">
      <c r="A14" s="43" t="s">
        <v>238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2" t="s">
        <v>313</v>
      </c>
      <c r="W14" s="12" t="s">
        <v>293</v>
      </c>
      <c r="X14" s="12" t="s">
        <v>314</v>
      </c>
      <c r="Y14" s="12" t="s">
        <v>315</v>
      </c>
      <c r="Z14" s="12" t="s">
        <v>293</v>
      </c>
      <c r="AA14" s="12" t="s">
        <v>316</v>
      </c>
    </row>
    <row r="15" spans="1:28" ht="23.1" customHeight="1" thickBot="1" x14ac:dyDescent="0.7">
      <c r="A15" s="43" t="s">
        <v>239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2" t="s">
        <v>319</v>
      </c>
      <c r="W15" s="12" t="s">
        <v>320</v>
      </c>
      <c r="X15" s="12" t="s">
        <v>321</v>
      </c>
      <c r="Y15" s="12" t="s">
        <v>281</v>
      </c>
      <c r="Z15" s="12" t="s">
        <v>322</v>
      </c>
      <c r="AA15" s="12" t="s">
        <v>278</v>
      </c>
    </row>
    <row r="16" spans="1:28" ht="23.1" customHeight="1" thickBot="1" x14ac:dyDescent="0.7">
      <c r="A16" s="43" t="s">
        <v>240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2" t="s">
        <v>324</v>
      </c>
      <c r="W16" s="12" t="s">
        <v>319</v>
      </c>
      <c r="X16" s="12" t="s">
        <v>325</v>
      </c>
      <c r="Y16" s="12" t="s">
        <v>326</v>
      </c>
      <c r="Z16" s="12" t="s">
        <v>327</v>
      </c>
      <c r="AA16" s="51" t="s">
        <v>288</v>
      </c>
    </row>
    <row r="17" spans="1:27" ht="23.1" customHeight="1" thickBot="1" x14ac:dyDescent="0.7">
      <c r="A17" s="43" t="s">
        <v>241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2" t="s">
        <v>338</v>
      </c>
      <c r="W17" s="44" t="s">
        <v>339</v>
      </c>
      <c r="X17" s="12" t="s">
        <v>340</v>
      </c>
      <c r="Y17" s="12" t="s">
        <v>341</v>
      </c>
      <c r="Z17" s="12" t="s">
        <v>342</v>
      </c>
      <c r="AA17" s="12" t="s">
        <v>313</v>
      </c>
    </row>
    <row r="18" spans="1:27" ht="23.1" customHeight="1" thickBot="1" x14ac:dyDescent="0.7">
      <c r="A18" s="43" t="s">
        <v>242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2" t="s">
        <v>322</v>
      </c>
      <c r="W18" s="12" t="s">
        <v>344</v>
      </c>
      <c r="X18" s="12" t="s">
        <v>345</v>
      </c>
      <c r="Y18" s="12" t="s">
        <v>295</v>
      </c>
      <c r="Z18" s="12" t="s">
        <v>346</v>
      </c>
      <c r="AA18" s="12" t="s">
        <v>339</v>
      </c>
    </row>
    <row r="19" spans="1:27" ht="23.1" customHeight="1" thickBot="1" x14ac:dyDescent="0.7">
      <c r="A19" s="43" t="s">
        <v>243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 t="s">
        <v>302</v>
      </c>
      <c r="W19" s="12" t="s">
        <v>301</v>
      </c>
      <c r="X19" s="12" t="s">
        <v>345</v>
      </c>
      <c r="Y19" s="12" t="s">
        <v>281</v>
      </c>
      <c r="Z19" s="12" t="s">
        <v>347</v>
      </c>
      <c r="AA19" s="55"/>
    </row>
    <row r="20" spans="1:27" ht="23.1" customHeight="1" thickBot="1" x14ac:dyDescent="0.7">
      <c r="A20" s="43" t="s">
        <v>244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2" t="s">
        <v>251</v>
      </c>
      <c r="W20" s="12" t="s">
        <v>319</v>
      </c>
      <c r="X20" s="12" t="s">
        <v>300</v>
      </c>
      <c r="Y20" s="12" t="s">
        <v>348</v>
      </c>
      <c r="Z20" s="12" t="s">
        <v>312</v>
      </c>
      <c r="AA20" s="12" t="s">
        <v>349</v>
      </c>
    </row>
    <row r="21" spans="1:27" ht="23.1" customHeight="1" thickBot="1" x14ac:dyDescent="0.7">
      <c r="A21" s="43" t="s">
        <v>245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 t="s">
        <v>272</v>
      </c>
      <c r="W21" s="12" t="s">
        <v>350</v>
      </c>
      <c r="X21" s="12" t="s">
        <v>290</v>
      </c>
      <c r="Y21" s="12" t="s">
        <v>351</v>
      </c>
      <c r="Z21" s="12" t="s">
        <v>271</v>
      </c>
      <c r="AA21" s="12" t="s">
        <v>290</v>
      </c>
    </row>
    <row r="22" spans="1:27" ht="23.1" customHeight="1" thickBot="1" x14ac:dyDescent="0.7">
      <c r="A22" s="43" t="s">
        <v>246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 t="s">
        <v>306</v>
      </c>
      <c r="W22" s="12" t="s">
        <v>352</v>
      </c>
      <c r="X22" s="12" t="s">
        <v>346</v>
      </c>
      <c r="Y22" s="12" t="s">
        <v>353</v>
      </c>
      <c r="Z22" s="12" t="s">
        <v>354</v>
      </c>
      <c r="AA22" s="12" t="s">
        <v>290</v>
      </c>
    </row>
    <row r="23" spans="1:27" ht="23.1" customHeight="1" thickBot="1" x14ac:dyDescent="0.7">
      <c r="A23" s="43" t="s">
        <v>247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 t="s">
        <v>355</v>
      </c>
      <c r="W23" s="12" t="s">
        <v>352</v>
      </c>
      <c r="X23" s="12" t="s">
        <v>356</v>
      </c>
      <c r="Y23" s="12" t="s">
        <v>272</v>
      </c>
      <c r="Z23" s="12" t="s">
        <v>357</v>
      </c>
      <c r="AA23" s="12" t="s">
        <v>358</v>
      </c>
    </row>
    <row r="24" spans="1:27" ht="23.1" customHeight="1" thickBot="1" x14ac:dyDescent="0.7">
      <c r="A24" s="43" t="s">
        <v>248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2" t="s">
        <v>359</v>
      </c>
      <c r="W24" s="12" t="s">
        <v>339</v>
      </c>
      <c r="X24" s="12" t="s">
        <v>360</v>
      </c>
      <c r="Y24" s="12" t="s">
        <v>361</v>
      </c>
      <c r="Z24" s="12" t="s">
        <v>362</v>
      </c>
      <c r="AA24" s="62"/>
    </row>
    <row r="25" spans="1:27" ht="23.1" hidden="1" customHeight="1" x14ac:dyDescent="0.65">
      <c r="A25" s="10"/>
      <c r="V25" s="11"/>
      <c r="W25" s="11"/>
      <c r="X25" s="11"/>
      <c r="Y25" s="11"/>
      <c r="Z25" s="11"/>
    </row>
    <row r="26" spans="1:27" ht="23.1" customHeight="1" x14ac:dyDescent="0.65">
      <c r="A26" s="4"/>
    </row>
    <row r="27" spans="1:27" ht="23.1" customHeight="1" x14ac:dyDescent="0.65">
      <c r="A27" s="4"/>
    </row>
    <row r="28" spans="1:27" ht="26.1" customHeight="1" x14ac:dyDescent="0.6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7" ht="26.1" customHeight="1" x14ac:dyDescent="0.6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7" ht="26.1" customHeight="1" x14ac:dyDescent="0.6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7" ht="26.1" customHeight="1" x14ac:dyDescent="0.6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7" ht="26.1" customHeight="1" x14ac:dyDescent="0.6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2:23" ht="26.1" customHeight="1" x14ac:dyDescent="0.6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2:23" ht="26.1" customHeight="1" x14ac:dyDescent="0.6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</sheetData>
  <phoneticPr fontId="4" type="noConversion"/>
  <printOptions headings="1" gridLines="1" gridLinesSet="0"/>
  <pageMargins left="0" right="0" top="0" bottom="0" header="0.4921259845" footer="0.4921259845"/>
  <pageSetup paperSize="9" orientation="portrait" horizontalDpi="300" verticalDpi="4294967292" r:id="rId1"/>
  <headerFooter alignWithMargins="0">
    <oddFooter xml:space="preserve">&amp;L&amp;"IBM3270,Standard"&amp;6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7"/>
  <sheetViews>
    <sheetView workbookViewId="0">
      <selection activeCell="C26" sqref="C26"/>
    </sheetView>
  </sheetViews>
  <sheetFormatPr baseColWidth="10" defaultColWidth="13.7109375" defaultRowHeight="24" customHeight="1" x14ac:dyDescent="0.35"/>
  <cols>
    <col min="1" max="1" width="13.28515625" bestFit="1" customWidth="1"/>
    <col min="2" max="2" width="8.42578125" customWidth="1"/>
    <col min="3" max="3" width="21.85546875" customWidth="1"/>
    <col min="4" max="5" width="20.7109375" customWidth="1"/>
    <col min="6" max="7" width="20.7109375" hidden="1" customWidth="1"/>
    <col min="8" max="8" width="20.7109375" customWidth="1"/>
  </cols>
  <sheetData>
    <row r="1" spans="1:23" ht="24" customHeight="1" x14ac:dyDescent="0.45">
      <c r="A1" s="32" t="s">
        <v>229</v>
      </c>
      <c r="B1" s="33"/>
      <c r="C1" s="33"/>
      <c r="D1" s="34"/>
    </row>
    <row r="2" spans="1:23" ht="24" customHeight="1" x14ac:dyDescent="0.35">
      <c r="A2" s="17" t="s">
        <v>23</v>
      </c>
      <c r="B2" s="18" t="s">
        <v>24</v>
      </c>
      <c r="C2" s="19" t="s">
        <v>25</v>
      </c>
      <c r="D2" s="19" t="s">
        <v>26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30" customHeight="1" x14ac:dyDescent="0.35">
      <c r="A3" s="18">
        <v>1</v>
      </c>
      <c r="B3" s="18">
        <v>50</v>
      </c>
      <c r="C3" s="21" t="s">
        <v>255</v>
      </c>
      <c r="D3" s="19" t="s">
        <v>256</v>
      </c>
      <c r="K3" s="16"/>
    </row>
    <row r="4" spans="1:23" ht="30" customHeight="1" x14ac:dyDescent="0.35">
      <c r="A4" s="18">
        <v>2</v>
      </c>
      <c r="B4" s="17">
        <v>45</v>
      </c>
      <c r="C4" s="18" t="s">
        <v>259</v>
      </c>
      <c r="D4" s="19" t="s">
        <v>260</v>
      </c>
    </row>
    <row r="5" spans="1:23" ht="30" customHeight="1" x14ac:dyDescent="0.35">
      <c r="A5" s="18">
        <v>3</v>
      </c>
      <c r="B5" s="17">
        <v>40</v>
      </c>
      <c r="C5" s="18" t="s">
        <v>274</v>
      </c>
      <c r="D5" s="19" t="s">
        <v>279</v>
      </c>
    </row>
    <row r="6" spans="1:23" ht="30" customHeight="1" x14ac:dyDescent="0.35">
      <c r="A6" s="18">
        <v>4</v>
      </c>
      <c r="B6" s="17">
        <v>40</v>
      </c>
      <c r="C6" s="18" t="s">
        <v>252</v>
      </c>
      <c r="D6" s="19" t="s">
        <v>280</v>
      </c>
    </row>
    <row r="7" spans="1:23" ht="30" customHeight="1" x14ac:dyDescent="0.35">
      <c r="A7" s="18">
        <v>5</v>
      </c>
      <c r="B7" s="17">
        <v>30</v>
      </c>
      <c r="C7" s="18" t="s">
        <v>296</v>
      </c>
      <c r="D7" s="19" t="s">
        <v>260</v>
      </c>
    </row>
    <row r="8" spans="1:23" ht="30" customHeight="1" x14ac:dyDescent="0.35">
      <c r="A8" s="18">
        <v>6</v>
      </c>
      <c r="B8" s="17">
        <v>25</v>
      </c>
      <c r="C8" s="18" t="s">
        <v>297</v>
      </c>
      <c r="D8" s="19" t="s">
        <v>279</v>
      </c>
    </row>
    <row r="9" spans="1:23" ht="30" customHeight="1" x14ac:dyDescent="0.35">
      <c r="A9" s="18">
        <v>7</v>
      </c>
      <c r="B9" s="17">
        <v>20</v>
      </c>
      <c r="C9" s="18" t="s">
        <v>276</v>
      </c>
      <c r="D9" s="19" t="s">
        <v>303</v>
      </c>
    </row>
    <row r="10" spans="1:23" ht="30" customHeight="1" x14ac:dyDescent="0.35">
      <c r="A10" s="18">
        <v>8</v>
      </c>
      <c r="B10" s="17">
        <v>20</v>
      </c>
      <c r="C10" s="18" t="s">
        <v>282</v>
      </c>
      <c r="D10" s="19" t="s">
        <v>317</v>
      </c>
    </row>
    <row r="11" spans="1:23" ht="30" customHeight="1" x14ac:dyDescent="0.35">
      <c r="A11" s="18">
        <v>9</v>
      </c>
      <c r="B11" s="17">
        <v>20</v>
      </c>
      <c r="C11" s="18" t="s">
        <v>318</v>
      </c>
      <c r="D11" s="19" t="s">
        <v>279</v>
      </c>
    </row>
    <row r="12" spans="1:23" ht="30" customHeight="1" x14ac:dyDescent="0.35">
      <c r="A12" s="18">
        <v>10</v>
      </c>
      <c r="B12" s="17">
        <v>15</v>
      </c>
      <c r="C12" s="18" t="s">
        <v>323</v>
      </c>
      <c r="D12" s="19" t="s">
        <v>303</v>
      </c>
    </row>
    <row r="13" spans="1:23" ht="30" customHeight="1" x14ac:dyDescent="0.35">
      <c r="A13" s="18">
        <v>11</v>
      </c>
      <c r="B13" s="17">
        <v>15</v>
      </c>
      <c r="C13" s="18" t="s">
        <v>267</v>
      </c>
      <c r="D13" s="19" t="s">
        <v>260</v>
      </c>
    </row>
    <row r="14" spans="1:23" ht="30" customHeight="1" x14ac:dyDescent="0.35">
      <c r="A14" s="18">
        <v>12</v>
      </c>
      <c r="B14" s="17">
        <v>10</v>
      </c>
      <c r="C14" s="18" t="s">
        <v>289</v>
      </c>
      <c r="D14" s="19" t="s">
        <v>333</v>
      </c>
    </row>
    <row r="15" spans="1:23" ht="30" customHeight="1" x14ac:dyDescent="0.35">
      <c r="A15" s="18">
        <v>13</v>
      </c>
      <c r="B15" s="17">
        <v>10</v>
      </c>
      <c r="C15" s="18" t="s">
        <v>328</v>
      </c>
      <c r="D15" s="19" t="s">
        <v>334</v>
      </c>
    </row>
    <row r="16" spans="1:23" ht="30" customHeight="1" x14ac:dyDescent="0.35">
      <c r="A16" s="18">
        <v>14</v>
      </c>
      <c r="B16" s="17">
        <v>10</v>
      </c>
      <c r="C16" s="18" t="s">
        <v>329</v>
      </c>
      <c r="D16" s="19" t="s">
        <v>335</v>
      </c>
    </row>
    <row r="17" spans="1:4" ht="30" customHeight="1" x14ac:dyDescent="0.35">
      <c r="A17" s="18">
        <v>15</v>
      </c>
      <c r="B17" s="17">
        <v>10</v>
      </c>
      <c r="C17" s="18" t="s">
        <v>275</v>
      </c>
      <c r="D17" s="19" t="s">
        <v>336</v>
      </c>
    </row>
    <row r="18" spans="1:4" ht="30" customHeight="1" x14ac:dyDescent="0.35">
      <c r="A18" s="18">
        <v>16</v>
      </c>
      <c r="B18" s="17">
        <v>10</v>
      </c>
      <c r="C18" s="18" t="s">
        <v>330</v>
      </c>
      <c r="D18" s="19" t="s">
        <v>317</v>
      </c>
    </row>
    <row r="19" spans="1:4" ht="30" customHeight="1" x14ac:dyDescent="0.35">
      <c r="A19" s="18">
        <v>17</v>
      </c>
      <c r="B19" s="17">
        <v>10</v>
      </c>
      <c r="C19" s="18" t="s">
        <v>331</v>
      </c>
      <c r="D19" s="19" t="s">
        <v>256</v>
      </c>
    </row>
    <row r="20" spans="1:4" ht="30" customHeight="1" x14ac:dyDescent="0.35">
      <c r="A20" s="18">
        <v>18</v>
      </c>
      <c r="B20" s="17">
        <v>10</v>
      </c>
      <c r="C20" s="18" t="s">
        <v>332</v>
      </c>
      <c r="D20" s="19" t="s">
        <v>337</v>
      </c>
    </row>
    <row r="21" spans="1:4" ht="30" customHeight="1" x14ac:dyDescent="0.35">
      <c r="A21" s="18">
        <v>19</v>
      </c>
      <c r="B21" s="17">
        <v>5</v>
      </c>
      <c r="C21" s="18" t="s">
        <v>343</v>
      </c>
      <c r="D21" s="19" t="s">
        <v>336</v>
      </c>
    </row>
    <row r="22" spans="1:4" ht="30" customHeight="1" x14ac:dyDescent="0.35">
      <c r="A22" s="18">
        <v>20</v>
      </c>
      <c r="B22" s="17">
        <v>5</v>
      </c>
      <c r="C22" s="18" t="s">
        <v>308</v>
      </c>
      <c r="D22" s="19" t="s">
        <v>337</v>
      </c>
    </row>
    <row r="23" spans="1:4" ht="30" hidden="1" customHeight="1" x14ac:dyDescent="0.35">
      <c r="A23" s="20"/>
      <c r="B23" s="17"/>
      <c r="C23" s="18"/>
      <c r="D23" s="17"/>
    </row>
    <row r="24" spans="1:4" ht="30" hidden="1" customHeight="1" x14ac:dyDescent="0.35">
      <c r="A24" s="18"/>
      <c r="B24" s="17"/>
      <c r="C24" s="18"/>
      <c r="D24" s="17"/>
    </row>
    <row r="25" spans="1:4" ht="30" hidden="1" customHeight="1" x14ac:dyDescent="0.35">
      <c r="A25" s="18"/>
      <c r="B25" s="17"/>
      <c r="C25" s="18"/>
      <c r="D25" s="17"/>
    </row>
    <row r="26" spans="1:4" ht="30" customHeight="1" x14ac:dyDescent="0.35">
      <c r="A26" s="18"/>
      <c r="B26" s="17"/>
      <c r="C26" s="18"/>
      <c r="D26" s="19"/>
    </row>
    <row r="27" spans="1:4" ht="30" customHeight="1" x14ac:dyDescent="0.35">
      <c r="A27" s="15"/>
      <c r="B27" s="15">
        <f>SUM(B3:B22)</f>
        <v>400</v>
      </c>
      <c r="C27" s="21"/>
      <c r="D27" s="15"/>
    </row>
  </sheetData>
  <phoneticPr fontId="0" type="noConversion"/>
  <printOptions headings="1" gridLines="1" gridLinesSet="0"/>
  <pageMargins left="0" right="0" top="0" bottom="0" header="0.4921259845" footer="0.492125984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Tagesstand</vt:lpstr>
      <vt:lpstr>Spez.wert.</vt:lpstr>
      <vt:lpstr>OUT</vt:lpstr>
      <vt:lpstr>OUT!Druckbereich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41798</cp:lastModifiedBy>
  <cp:lastPrinted>2023-07-23T20:39:51Z</cp:lastPrinted>
  <dcterms:created xsi:type="dcterms:W3CDTF">2001-10-29T14:55:22Z</dcterms:created>
  <dcterms:modified xsi:type="dcterms:W3CDTF">2023-07-23T20:44:26Z</dcterms:modified>
</cp:coreProperties>
</file>