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798\Downloads\"/>
    </mc:Choice>
  </mc:AlternateContent>
  <xr:revisionPtr revIDLastSave="0" documentId="8_{F71D943A-2620-4EA9-A550-FF0595F663BB}" xr6:coauthVersionLast="47" xr6:coauthVersionMax="47" xr10:uidLastSave="{00000000-0000-0000-0000-000000000000}"/>
  <bookViews>
    <workbookView xWindow="-98" yWindow="-98" windowWidth="24496" windowHeight="15675" xr2:uid="{00000000-000D-0000-FFFF-FFFF00000000}"/>
  </bookViews>
  <sheets>
    <sheet name="Tagesstand" sheetId="22" r:id="rId1"/>
    <sheet name="Spez.wert." sheetId="15" state="hidden" r:id="rId2"/>
    <sheet name="OUT" sheetId="21" state="hidden" r:id="rId3"/>
  </sheets>
  <definedNames>
    <definedName name="_xlnm.Print_Area" localSheetId="2">OUT!$A$1:$D$27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22" l="1"/>
  <c r="A19" i="22"/>
  <c r="I29" i="22"/>
  <c r="I46" i="22"/>
  <c r="I45" i="22"/>
  <c r="I41" i="22"/>
  <c r="I39" i="22"/>
  <c r="E27" i="22"/>
  <c r="G46" i="22"/>
  <c r="G48" i="22"/>
  <c r="G45" i="22"/>
  <c r="G43" i="22"/>
  <c r="G42" i="22"/>
  <c r="G40" i="22"/>
  <c r="G37" i="22"/>
  <c r="E48" i="22"/>
  <c r="E43" i="22"/>
  <c r="E42" i="22"/>
  <c r="E38" i="22"/>
  <c r="C46" i="22"/>
  <c r="C42" i="22"/>
  <c r="C45" i="22"/>
  <c r="C44" i="22"/>
  <c r="C43" i="22"/>
  <c r="C40" i="22"/>
  <c r="A45" i="22"/>
  <c r="A39" i="22"/>
  <c r="A43" i="22"/>
  <c r="A41" i="22"/>
  <c r="I27" i="22"/>
  <c r="I26" i="22"/>
  <c r="I22" i="22"/>
  <c r="I21" i="22"/>
  <c r="I19" i="22"/>
  <c r="G33" i="22"/>
  <c r="G28" i="22"/>
  <c r="G26" i="22"/>
  <c r="G23" i="22"/>
  <c r="G21" i="22"/>
  <c r="G20" i="22"/>
  <c r="G19" i="22"/>
  <c r="E26" i="22"/>
  <c r="E23" i="22"/>
  <c r="E19" i="22"/>
  <c r="C27" i="22"/>
  <c r="C28" i="22"/>
  <c r="C23" i="22"/>
  <c r="C22" i="22"/>
  <c r="C20" i="22"/>
  <c r="C19" i="22"/>
  <c r="A28" i="22"/>
  <c r="A33" i="22"/>
  <c r="A21" i="22"/>
  <c r="A20" i="22"/>
  <c r="I8" i="22"/>
  <c r="I6" i="22"/>
  <c r="I5" i="22"/>
  <c r="I4" i="22"/>
  <c r="I2" i="22"/>
  <c r="G13" i="22"/>
  <c r="G10" i="22"/>
  <c r="G6" i="22"/>
  <c r="G4" i="22"/>
  <c r="G3" i="22"/>
  <c r="G2" i="22"/>
  <c r="E13" i="22"/>
  <c r="E6" i="22"/>
  <c r="E5" i="22"/>
  <c r="E2" i="22"/>
  <c r="C13" i="22"/>
  <c r="C8" i="22"/>
  <c r="C6" i="22"/>
  <c r="C4" i="22"/>
  <c r="C3" i="22"/>
  <c r="C2" i="22"/>
  <c r="A9" i="22"/>
  <c r="A7" i="22"/>
  <c r="A6" i="22"/>
  <c r="A5" i="22"/>
  <c r="A3" i="22"/>
  <c r="A2" i="22"/>
  <c r="G27" i="22" l="1"/>
  <c r="I42" i="22"/>
  <c r="E45" i="22"/>
  <c r="E37" i="22"/>
  <c r="A44" i="22"/>
  <c r="A42" i="22"/>
  <c r="A40" i="22"/>
  <c r="I25" i="22"/>
  <c r="G29" i="22"/>
  <c r="G25" i="22"/>
  <c r="C33" i="22"/>
  <c r="G8" i="22"/>
  <c r="E8" i="22"/>
  <c r="C5" i="22"/>
  <c r="A12" i="22"/>
  <c r="I37" i="22"/>
  <c r="C41" i="22"/>
  <c r="C38" i="22"/>
  <c r="A22" i="22"/>
  <c r="G12" i="22"/>
  <c r="E4" i="22"/>
  <c r="A8" i="22"/>
  <c r="I24" i="22"/>
  <c r="G47" i="22"/>
  <c r="G44" i="22"/>
  <c r="E47" i="22"/>
  <c r="E46" i="22"/>
  <c r="G24" i="22"/>
  <c r="E24" i="22"/>
  <c r="C29" i="22"/>
  <c r="E12" i="22"/>
  <c r="C24" i="22"/>
  <c r="C21" i="22"/>
  <c r="A27" i="22"/>
  <c r="I11" i="22"/>
  <c r="E40" i="22"/>
  <c r="G7" i="22"/>
  <c r="G11" i="22"/>
  <c r="G22" i="22"/>
  <c r="C26" i="22"/>
  <c r="A24" i="22"/>
  <c r="I47" i="22"/>
  <c r="E41" i="22"/>
  <c r="E39" i="22"/>
  <c r="C39" i="22"/>
  <c r="A46" i="22"/>
  <c r="A13" i="22"/>
  <c r="A11" i="22"/>
  <c r="E44" i="22"/>
  <c r="E20" i="22"/>
  <c r="I3" i="22"/>
  <c r="E7" i="22"/>
  <c r="I23" i="22"/>
  <c r="E25" i="22"/>
  <c r="E21" i="22"/>
  <c r="A23" i="22"/>
  <c r="E10" i="22"/>
  <c r="A10" i="22"/>
  <c r="C37" i="22"/>
  <c r="I44" i="22"/>
  <c r="I43" i="22"/>
  <c r="E33" i="22"/>
  <c r="E11" i="22"/>
  <c r="C11" i="22"/>
  <c r="C10" i="22"/>
  <c r="I38" i="22"/>
  <c r="E22" i="22"/>
  <c r="I9" i="22"/>
  <c r="I28" i="22"/>
  <c r="E9" i="22"/>
  <c r="C12" i="22"/>
  <c r="A47" i="22"/>
  <c r="G41" i="22"/>
  <c r="A29" i="22"/>
  <c r="C7" i="22"/>
  <c r="A37" i="22"/>
  <c r="A25" i="22"/>
  <c r="G38" i="22"/>
  <c r="I7" i="22"/>
  <c r="G9" i="22"/>
  <c r="E3" i="22"/>
  <c r="C9" i="22"/>
  <c r="A4" i="22"/>
  <c r="A16" i="22" l="1"/>
  <c r="E28" i="22"/>
  <c r="C25" i="22"/>
  <c r="I12" i="22"/>
  <c r="G39" i="22"/>
  <c r="A38" i="22"/>
  <c r="A53" i="22" s="1"/>
  <c r="I20" i="22"/>
  <c r="I10" i="22"/>
  <c r="C47" i="22"/>
  <c r="I33" i="22"/>
  <c r="G5" i="22"/>
  <c r="I40" i="22"/>
  <c r="E29" i="22"/>
  <c r="E34" i="22"/>
  <c r="G16" i="22" l="1"/>
  <c r="C16" i="22"/>
  <c r="I16" i="22"/>
  <c r="E16" i="22"/>
  <c r="G53" i="22"/>
  <c r="C34" i="22"/>
  <c r="I53" i="22" l="1"/>
  <c r="E53" i="22"/>
  <c r="C53" i="22"/>
  <c r="I34" i="22"/>
  <c r="G34" i="22"/>
  <c r="A34" i="22"/>
  <c r="A56" i="22" l="1"/>
  <c r="A57" i="22" s="1"/>
  <c r="C35" i="22" l="1"/>
  <c r="C17" i="22"/>
  <c r="G17" i="22"/>
  <c r="I17" i="22"/>
  <c r="A35" i="22"/>
  <c r="A54" i="22"/>
  <c r="G35" i="22"/>
  <c r="A17" i="22"/>
  <c r="E54" i="22"/>
  <c r="E35" i="22"/>
  <c r="E17" i="22"/>
  <c r="G54" i="22"/>
  <c r="I54" i="22"/>
  <c r="C54" i="22"/>
  <c r="I35" i="22"/>
</calcChain>
</file>

<file path=xl/sharedStrings.xml><?xml version="1.0" encoding="utf-8"?>
<sst xmlns="http://schemas.openxmlformats.org/spreadsheetml/2006/main" count="223" uniqueCount="220">
  <si>
    <t>Reihenfolge</t>
  </si>
  <si>
    <t xml:space="preserve">Betrag </t>
  </si>
  <si>
    <t>Fahrer</t>
  </si>
  <si>
    <t>Team</t>
  </si>
  <si>
    <t xml:space="preserve"> = AUSGESCHIEDEN</t>
  </si>
  <si>
    <t>,</t>
  </si>
  <si>
    <t>FE</t>
  </si>
  <si>
    <t>ZÜGE</t>
  </si>
  <si>
    <t>FRANCO</t>
  </si>
  <si>
    <t>LUCA LUCA</t>
  </si>
  <si>
    <t>HOLLYWOOD</t>
  </si>
  <si>
    <t>LULU</t>
  </si>
  <si>
    <t>BERGGEISSE</t>
  </si>
  <si>
    <t>BASTRO</t>
  </si>
  <si>
    <t>GRILLI</t>
  </si>
  <si>
    <t>BAROS</t>
  </si>
  <si>
    <t>WSD</t>
  </si>
  <si>
    <t>ALPE D'HUEZ</t>
  </si>
  <si>
    <t>MAXIM</t>
  </si>
  <si>
    <t>SOLER</t>
  </si>
  <si>
    <t>VAN KEIRSBALCK</t>
  </si>
  <si>
    <t>KUSS</t>
  </si>
  <si>
    <t>NEILANDS</t>
  </si>
  <si>
    <t>RIABUSHENKO</t>
  </si>
  <si>
    <t>MARTINEZ</t>
  </si>
  <si>
    <t>SCHÖNBERGER</t>
  </si>
  <si>
    <t>DURBRIDGE</t>
  </si>
  <si>
    <t>SCHULTZ</t>
  </si>
  <si>
    <t>VAN BAARLE</t>
  </si>
  <si>
    <t>DE WULF</t>
  </si>
  <si>
    <t>GENIETS</t>
  </si>
  <si>
    <t>OWSIAN</t>
  </si>
  <si>
    <t>VINGEGAARD</t>
  </si>
  <si>
    <t>TUSVELD</t>
  </si>
  <si>
    <t>LAENGEN</t>
  </si>
  <si>
    <t>MAS</t>
  </si>
  <si>
    <t>BYSTRÖM</t>
  </si>
  <si>
    <t>GRADECK</t>
  </si>
  <si>
    <t>MAFIOSOS</t>
  </si>
  <si>
    <t>VIKTOR</t>
  </si>
  <si>
    <t>CRAS</t>
  </si>
  <si>
    <t>GREGAARD</t>
  </si>
  <si>
    <t>ABRAHAMSEN</t>
  </si>
  <si>
    <t>POELS</t>
  </si>
  <si>
    <t>SHAW</t>
  </si>
  <si>
    <t>SMITH</t>
  </si>
  <si>
    <t>DECLERQ</t>
  </si>
  <si>
    <t>REINDERS</t>
  </si>
  <si>
    <t>GUARNIERI</t>
  </si>
  <si>
    <t>EDMONDSON</t>
  </si>
  <si>
    <t>BERTHET</t>
  </si>
  <si>
    <t>LOPEZ</t>
  </si>
  <si>
    <t>HARPER</t>
  </si>
  <si>
    <t>KELDERMAN</t>
  </si>
  <si>
    <t>TDF 2023 AUSGESCHIEDENE FAHRER</t>
  </si>
  <si>
    <t>DE LA CRUZ</t>
  </si>
  <si>
    <t>CARUSO</t>
  </si>
  <si>
    <t>VLASOV</t>
  </si>
  <si>
    <t>HIGUITA</t>
  </si>
  <si>
    <t>THOMAS</t>
  </si>
  <si>
    <t>BUITRAGO</t>
  </si>
  <si>
    <t>EVENEPOEL</t>
  </si>
  <si>
    <t>ROGLIC</t>
  </si>
  <si>
    <t>AYUSO</t>
  </si>
  <si>
    <t>KRON</t>
  </si>
  <si>
    <t>OURSELIN</t>
  </si>
  <si>
    <t>CHEREL</t>
  </si>
  <si>
    <t>ZWIEHOFF</t>
  </si>
  <si>
    <t>OSBORNE</t>
  </si>
  <si>
    <t>BISSEGGER</t>
  </si>
  <si>
    <t>ERVITI</t>
  </si>
  <si>
    <t>MILESI</t>
  </si>
  <si>
    <t>GODON</t>
  </si>
  <si>
    <t>GHYS</t>
  </si>
  <si>
    <t>CARTHY</t>
  </si>
  <si>
    <t>GANNA</t>
  </si>
  <si>
    <t>GESBERT</t>
  </si>
  <si>
    <t>DE GENDT</t>
  </si>
  <si>
    <t>BARCELO</t>
  </si>
  <si>
    <t>VENDRAME</t>
  </si>
  <si>
    <t>DE PLUS</t>
  </si>
  <si>
    <t>ARENSMAN</t>
  </si>
  <si>
    <t>HERREGODTS</t>
  </si>
  <si>
    <t>AULAR</t>
  </si>
  <si>
    <t>ENGELHARDT</t>
  </si>
  <si>
    <t>VAN POPPEL Boy</t>
  </si>
  <si>
    <t>BALDERSTONE</t>
  </si>
  <si>
    <t>PICCOLO</t>
  </si>
  <si>
    <t>VALTER</t>
  </si>
  <si>
    <t>GESINK</t>
  </si>
  <si>
    <t>ROJAS</t>
  </si>
  <si>
    <t>TRATNIK</t>
  </si>
  <si>
    <t>VAUQUELIN</t>
  </si>
  <si>
    <t>CATTANEO</t>
  </si>
  <si>
    <t>MOLLEMA</t>
  </si>
  <si>
    <t>VERVAEKE</t>
  </si>
  <si>
    <t>RIES</t>
  </si>
  <si>
    <t>DUNBAR</t>
  </si>
  <si>
    <t>VINE</t>
  </si>
  <si>
    <t>ALMEIDA</t>
  </si>
  <si>
    <t>MOLANO</t>
  </si>
  <si>
    <t>VAN EETVELT</t>
  </si>
  <si>
    <t>MENTEN</t>
  </si>
  <si>
    <t>MONIQUET</t>
  </si>
  <si>
    <t>BARRENETXEA</t>
  </si>
  <si>
    <t>BARDET</t>
  </si>
  <si>
    <t>COQUARD</t>
  </si>
  <si>
    <t>LANDA</t>
  </si>
  <si>
    <t>OLIVEIRA Rui</t>
  </si>
  <si>
    <t>FISHER-BLACK</t>
  </si>
  <si>
    <t>NOVAK</t>
  </si>
  <si>
    <t>ARCAS</t>
  </si>
  <si>
    <t>GARCIA CORTINA</t>
  </si>
  <si>
    <t>LAZKANO</t>
  </si>
  <si>
    <t>OLIVEIRO Nelson</t>
  </si>
  <si>
    <t>RUBIO</t>
  </si>
  <si>
    <t>GUEREIRO</t>
  </si>
  <si>
    <t>CASTROVIRJO</t>
  </si>
  <si>
    <t>FRAILE</t>
  </si>
  <si>
    <t>HEIDUK</t>
  </si>
  <si>
    <t>BERNAL</t>
  </si>
  <si>
    <t>PEDERSEN</t>
  </si>
  <si>
    <t>BAGIOLI</t>
  </si>
  <si>
    <t>KNOX</t>
  </si>
  <si>
    <t>SERRY</t>
  </si>
  <si>
    <t>BATTISTELLA</t>
  </si>
  <si>
    <t>DOMBROWSKI</t>
  </si>
  <si>
    <t>FELLINE</t>
  </si>
  <si>
    <t>PRONSKIY</t>
  </si>
  <si>
    <t>ROMO</t>
  </si>
  <si>
    <t>ZEITS</t>
  </si>
  <si>
    <t>COMBAUD</t>
  </si>
  <si>
    <t>FLYNN</t>
  </si>
  <si>
    <t>HAMILTON</t>
  </si>
  <si>
    <t>ONLEY</t>
  </si>
  <si>
    <t>POOLE</t>
  </si>
  <si>
    <t>DAINESE</t>
  </si>
  <si>
    <t>BOUCHARDD</t>
  </si>
  <si>
    <t>LAPEIRA</t>
  </si>
  <si>
    <t>TOUZE</t>
  </si>
  <si>
    <t>WARBASSE</t>
  </si>
  <si>
    <t>PRODHOMME</t>
  </si>
  <si>
    <t>DRIZNERS</t>
  </si>
  <si>
    <t>GRIGNARD</t>
  </si>
  <si>
    <t>SEPULVEDA</t>
  </si>
  <si>
    <t>LATOUR</t>
  </si>
  <si>
    <t>BONNET</t>
  </si>
  <si>
    <t>DOUBEY</t>
  </si>
  <si>
    <t>JOUSSEAUME</t>
  </si>
  <si>
    <t>SOUPE</t>
  </si>
  <si>
    <t>VAN GESTEL</t>
  </si>
  <si>
    <t>GONZALEZ</t>
  </si>
  <si>
    <t>SCHLEGEL</t>
  </si>
  <si>
    <t>GOVEKAR</t>
  </si>
  <si>
    <t>GRADEK</t>
  </si>
  <si>
    <t>SUETTERLIN</t>
  </si>
  <si>
    <t>TIBERI</t>
  </si>
  <si>
    <t>GOOSSENS</t>
  </si>
  <si>
    <t>JOHANSEN</t>
  </si>
  <si>
    <t>PAGE</t>
  </si>
  <si>
    <t>TAARAMAE</t>
  </si>
  <si>
    <t>COSTA</t>
  </si>
  <si>
    <t>SOBRERO</t>
  </si>
  <si>
    <t>ZANNA</t>
  </si>
  <si>
    <t>SCOTSON</t>
  </si>
  <si>
    <t>HEPBURN</t>
  </si>
  <si>
    <t>BERHE</t>
  </si>
  <si>
    <t>MAAS</t>
  </si>
  <si>
    <t>DAVY</t>
  </si>
  <si>
    <t>GERMANI</t>
  </si>
  <si>
    <t>GREGOIRE</t>
  </si>
  <si>
    <t>MOLARD</t>
  </si>
  <si>
    <t>STORER</t>
  </si>
  <si>
    <t>WATSON</t>
  </si>
  <si>
    <t>HOFSTETTER</t>
  </si>
  <si>
    <t>LR BERRE</t>
  </si>
  <si>
    <t>RODRIGUEZ Cristian</t>
  </si>
  <si>
    <t>BERNARD</t>
  </si>
  <si>
    <t>ELISSONDE</t>
  </si>
  <si>
    <t>GHEBREIGZABHIER</t>
  </si>
  <si>
    <t>MOSCA</t>
  </si>
  <si>
    <t>THEUNS</t>
  </si>
  <si>
    <t>VERGAERDE</t>
  </si>
  <si>
    <t>CAICEDO</t>
  </si>
  <si>
    <t>CAMARGO</t>
  </si>
  <si>
    <t>QUINN</t>
  </si>
  <si>
    <t>VAN DEN BERG Marijn</t>
  </si>
  <si>
    <t>VAN DEN BERG Julius</t>
  </si>
  <si>
    <t>BIDARD</t>
  </si>
  <si>
    <t>CIMOLAI</t>
  </si>
  <si>
    <t>FERNANDEZ</t>
  </si>
  <si>
    <t>HERRADA Jesus</t>
  </si>
  <si>
    <t>HERRADA Jose</t>
  </si>
  <si>
    <t>BUCHMANN</t>
  </si>
  <si>
    <t>DENZ</t>
  </si>
  <si>
    <t>KAEMNA</t>
  </si>
  <si>
    <t>KOCH</t>
  </si>
  <si>
    <t>UIJTEBROEKS</t>
  </si>
  <si>
    <t>DIAZ</t>
  </si>
  <si>
    <t>BOL</t>
  </si>
  <si>
    <t>EZQUERRA</t>
  </si>
  <si>
    <t>NAVARRO</t>
  </si>
  <si>
    <t>FAGUNDEZ</t>
  </si>
  <si>
    <t>OKAMIKA</t>
  </si>
  <si>
    <t>SANCHEZ Pelayo</t>
  </si>
  <si>
    <t>GROVES</t>
  </si>
  <si>
    <t>BALLERSTEDT</t>
  </si>
  <si>
    <t>BAYER</t>
  </si>
  <si>
    <t>GAZE</t>
  </si>
  <si>
    <t>JANSSENS</t>
  </si>
  <si>
    <t>PLANCKAERT</t>
  </si>
  <si>
    <t>CEPEDA</t>
  </si>
  <si>
    <t>PETILLI</t>
  </si>
  <si>
    <t>LEDANOIS</t>
  </si>
  <si>
    <t>HIRT</t>
  </si>
  <si>
    <t>ASKEY</t>
  </si>
  <si>
    <t>CARVALHO</t>
  </si>
  <si>
    <t>BARTH</t>
  </si>
  <si>
    <t>SANCHEZ Leon</t>
  </si>
  <si>
    <t>NICOLAU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</si>
</sst>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Helv"/>
    </font>
    <font>
      <b/>
      <sz val="10"/>
      <name val="Helv"/>
    </font>
    <font>
      <sz val="10"/>
      <name val="Helv"/>
    </font>
    <font>
      <b/>
      <sz val="12"/>
      <name val="Helv"/>
    </font>
    <font>
      <sz val="8"/>
      <name val="Helv"/>
    </font>
    <font>
      <sz val="24"/>
      <name val="Helv"/>
    </font>
    <font>
      <sz val="14"/>
      <name val="Helv"/>
    </font>
    <font>
      <b/>
      <sz val="8"/>
      <name val="Helv"/>
    </font>
    <font>
      <b/>
      <sz val="9"/>
      <name val="Helv"/>
    </font>
    <font>
      <sz val="9"/>
      <name val="Helv"/>
    </font>
    <font>
      <b/>
      <sz val="10"/>
      <color indexed="8"/>
      <name val="Helv"/>
    </font>
    <font>
      <b/>
      <sz val="10"/>
      <color rgb="FFFF0000"/>
      <name val="Helv"/>
    </font>
    <font>
      <b/>
      <sz val="10"/>
      <color theme="0"/>
      <name val="Helv"/>
    </font>
    <font>
      <b/>
      <sz val="10"/>
      <color rgb="FF00B050"/>
      <name val="Helv"/>
    </font>
    <font>
      <b/>
      <u/>
      <sz val="10"/>
      <name val="Helv"/>
    </font>
    <font>
      <b/>
      <sz val="9"/>
      <color theme="0"/>
      <name val="Helv"/>
    </font>
    <font>
      <b/>
      <sz val="10"/>
      <color theme="1"/>
      <name val="Helv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/>
    <xf numFmtId="0" fontId="6" fillId="0" borderId="5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6" xfId="0" applyNumberFormat="1" applyFont="1" applyBorder="1"/>
    <xf numFmtId="0" fontId="0" fillId="0" borderId="0" xfId="0" applyAlignment="1">
      <alignment horizontal="right"/>
    </xf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quotePrefix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0" fillId="0" borderId="0" xfId="0" applyNumberFormat="1"/>
    <xf numFmtId="3" fontId="1" fillId="2" borderId="6" xfId="0" applyNumberFormat="1" applyFont="1" applyFill="1" applyBorder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0" fontId="1" fillId="2" borderId="0" xfId="0" applyFont="1" applyFill="1"/>
    <xf numFmtId="0" fontId="5" fillId="2" borderId="0" xfId="0" applyFont="1" applyFill="1"/>
    <xf numFmtId="0" fontId="4" fillId="0" borderId="6" xfId="0" applyFont="1" applyBorder="1"/>
    <xf numFmtId="0" fontId="8" fillId="0" borderId="1" xfId="0" applyFont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left"/>
    </xf>
    <xf numFmtId="3" fontId="1" fillId="0" borderId="7" xfId="0" applyNumberFormat="1" applyFont="1" applyBorder="1"/>
    <xf numFmtId="3" fontId="12" fillId="0" borderId="7" xfId="0" applyNumberFormat="1" applyFont="1" applyBorder="1"/>
    <xf numFmtId="3" fontId="12" fillId="0" borderId="6" xfId="0" applyNumberFormat="1" applyFont="1" applyBorder="1"/>
    <xf numFmtId="3" fontId="1" fillId="0" borderId="0" xfId="0" applyNumberFormat="1" applyFont="1"/>
    <xf numFmtId="3" fontId="13" fillId="0" borderId="6" xfId="0" applyNumberFormat="1" applyFont="1" applyBorder="1"/>
    <xf numFmtId="3" fontId="8" fillId="0" borderId="6" xfId="0" applyNumberFormat="1" applyFont="1" applyBorder="1"/>
    <xf numFmtId="3" fontId="7" fillId="0" borderId="6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right"/>
    </xf>
    <xf numFmtId="3" fontId="8" fillId="0" borderId="7" xfId="0" applyNumberFormat="1" applyFont="1" applyBorder="1"/>
    <xf numFmtId="3" fontId="1" fillId="0" borderId="8" xfId="0" applyNumberFormat="1" applyFont="1" applyBorder="1"/>
    <xf numFmtId="3" fontId="9" fillId="0" borderId="6" xfId="0" applyNumberFormat="1" applyFont="1" applyBorder="1"/>
    <xf numFmtId="3" fontId="0" fillId="0" borderId="6" xfId="0" applyNumberFormat="1" applyBorder="1"/>
    <xf numFmtId="3" fontId="11" fillId="0" borderId="6" xfId="0" applyNumberFormat="1" applyFont="1" applyBorder="1"/>
    <xf numFmtId="3" fontId="2" fillId="0" borderId="6" xfId="0" applyNumberFormat="1" applyFont="1" applyBorder="1"/>
    <xf numFmtId="0" fontId="15" fillId="0" borderId="0" xfId="0" applyFont="1"/>
    <xf numFmtId="3" fontId="7" fillId="0" borderId="0" xfId="0" applyNumberFormat="1" applyFont="1"/>
    <xf numFmtId="3" fontId="12" fillId="5" borderId="6" xfId="0" applyNumberFormat="1" applyFont="1" applyFill="1" applyBorder="1"/>
    <xf numFmtId="3" fontId="16" fillId="0" borderId="6" xfId="0" applyNumberFormat="1" applyFont="1" applyBorder="1"/>
    <xf numFmtId="3" fontId="12" fillId="5" borderId="7" xfId="0" applyNumberFormat="1" applyFont="1" applyFill="1" applyBorder="1"/>
    <xf numFmtId="3" fontId="11" fillId="0" borderId="7" xfId="0" applyNumberFormat="1" applyFont="1" applyBorder="1"/>
    <xf numFmtId="0" fontId="1" fillId="0" borderId="0" xfId="0" applyFont="1"/>
    <xf numFmtId="3" fontId="13" fillId="0" borderId="6" xfId="0" applyNumberFormat="1" applyFont="1" applyBorder="1" applyAlignment="1">
      <alignment horizontal="right"/>
    </xf>
    <xf numFmtId="3" fontId="12" fillId="5" borderId="6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view="pageLayout" zoomScaleNormal="100" workbookViewId="0">
      <selection activeCell="E17" sqref="E17"/>
    </sheetView>
  </sheetViews>
  <sheetFormatPr baseColWidth="10" defaultRowHeight="17.100000000000001" customHeight="1" x14ac:dyDescent="0.35"/>
  <cols>
    <col min="1" max="1" width="7.5703125" customWidth="1"/>
    <col min="2" max="2" width="23.42578125" bestFit="1" customWidth="1"/>
    <col min="3" max="3" width="6.7109375" customWidth="1"/>
    <col min="4" max="4" width="21.85546875" bestFit="1" customWidth="1"/>
    <col min="5" max="5" width="6.7109375" customWidth="1"/>
    <col min="6" max="6" width="21.140625" bestFit="1" customWidth="1"/>
    <col min="7" max="7" width="6.7109375" customWidth="1"/>
    <col min="8" max="8" width="24.140625" bestFit="1" customWidth="1"/>
    <col min="9" max="9" width="6.7109375" customWidth="1"/>
    <col min="10" max="10" width="22.7109375" bestFit="1" customWidth="1"/>
  </cols>
  <sheetData>
    <row r="1" spans="1:12" ht="17.100000000000001" customHeight="1" x14ac:dyDescent="0.35">
      <c r="A1" s="23">
        <v>1</v>
      </c>
      <c r="B1" s="30" t="s">
        <v>12</v>
      </c>
      <c r="C1" s="23">
        <v>2</v>
      </c>
      <c r="D1" s="30" t="s">
        <v>16</v>
      </c>
      <c r="E1" s="23">
        <v>3</v>
      </c>
      <c r="F1" s="30" t="s">
        <v>6</v>
      </c>
      <c r="G1" s="23">
        <v>4</v>
      </c>
      <c r="H1" s="30" t="s">
        <v>38</v>
      </c>
      <c r="I1" s="23">
        <v>5</v>
      </c>
      <c r="J1" s="30" t="s">
        <v>39</v>
      </c>
    </row>
    <row r="2" spans="1:12" ht="17.100000000000001" customHeight="1" x14ac:dyDescent="0.35">
      <c r="A2" s="15">
        <f>60+8+6+45+6+20+100+17+100+60+16+710</f>
        <v>1148</v>
      </c>
      <c r="B2" s="35" t="s">
        <v>32</v>
      </c>
      <c r="C2" s="36">
        <f>6+40</f>
        <v>46</v>
      </c>
      <c r="D2" s="15" t="s">
        <v>88</v>
      </c>
      <c r="E2" s="36">
        <f>0</f>
        <v>0</v>
      </c>
      <c r="F2" s="15" t="s">
        <v>89</v>
      </c>
      <c r="G2" s="36">
        <f>18+6+55+60+17+25+90</f>
        <v>271</v>
      </c>
      <c r="H2" s="15" t="s">
        <v>105</v>
      </c>
      <c r="I2" s="36">
        <f>16+25+25+5+7+18+60</f>
        <v>156</v>
      </c>
      <c r="J2" s="15" t="s">
        <v>40</v>
      </c>
      <c r="L2" s="22"/>
    </row>
    <row r="3" spans="1:12" ht="17.100000000000001" customHeight="1" x14ac:dyDescent="0.35">
      <c r="A3" s="15">
        <f>15+6+100+35+10+16+60+30+6+20+55+20+885</f>
        <v>1258</v>
      </c>
      <c r="B3" s="35" t="s">
        <v>21</v>
      </c>
      <c r="C3" s="36">
        <f>0</f>
        <v>0</v>
      </c>
      <c r="D3" s="15" t="s">
        <v>118</v>
      </c>
      <c r="E3" s="57">
        <f>50+5</f>
        <v>55</v>
      </c>
      <c r="F3" s="55" t="s">
        <v>122</v>
      </c>
      <c r="G3" s="36">
        <f>0</f>
        <v>0</v>
      </c>
      <c r="H3" s="15" t="s">
        <v>91</v>
      </c>
      <c r="I3" s="57">
        <f>16+9+8+17+40</f>
        <v>90</v>
      </c>
      <c r="J3" s="55" t="s">
        <v>55</v>
      </c>
    </row>
    <row r="4" spans="1:12" ht="17.100000000000001" customHeight="1" x14ac:dyDescent="0.35">
      <c r="A4" s="55">
        <f>0</f>
        <v>0</v>
      </c>
      <c r="B4" s="61" t="s">
        <v>106</v>
      </c>
      <c r="C4" s="36">
        <f>0</f>
        <v>0</v>
      </c>
      <c r="D4" s="15" t="s">
        <v>124</v>
      </c>
      <c r="E4" s="36">
        <f>9+9</f>
        <v>18</v>
      </c>
      <c r="F4" s="15" t="s">
        <v>95</v>
      </c>
      <c r="G4" s="36">
        <f>40+15+10</f>
        <v>65</v>
      </c>
      <c r="H4" s="15" t="s">
        <v>93</v>
      </c>
      <c r="I4" s="36">
        <f>25+40+50+10+9+18+40+8+170</f>
        <v>370</v>
      </c>
      <c r="J4" s="15" t="s">
        <v>99</v>
      </c>
    </row>
    <row r="5" spans="1:12" ht="17.100000000000001" customHeight="1" x14ac:dyDescent="0.35">
      <c r="A5" s="15">
        <f>50+7+100+9+55+55+10+30+100+18+505</f>
        <v>939</v>
      </c>
      <c r="B5" s="35" t="s">
        <v>62</v>
      </c>
      <c r="C5" s="36">
        <f>50+10+20+15+16</f>
        <v>111</v>
      </c>
      <c r="D5" s="15" t="s">
        <v>102</v>
      </c>
      <c r="E5" s="36">
        <f>100+55+45+55+140</f>
        <v>395</v>
      </c>
      <c r="F5" s="15" t="s">
        <v>64</v>
      </c>
      <c r="G5" s="36">
        <f>6</f>
        <v>6</v>
      </c>
      <c r="H5" s="15" t="s">
        <v>125</v>
      </c>
      <c r="I5" s="36">
        <f>0</f>
        <v>0</v>
      </c>
      <c r="J5" s="15" t="s">
        <v>121</v>
      </c>
    </row>
    <row r="6" spans="1:12" ht="17.100000000000001" customHeight="1" x14ac:dyDescent="0.35">
      <c r="A6" s="15">
        <f>0</f>
        <v>0</v>
      </c>
      <c r="B6" s="35" t="s">
        <v>123</v>
      </c>
      <c r="C6" s="36">
        <f>35</f>
        <v>35</v>
      </c>
      <c r="D6" s="15" t="s">
        <v>144</v>
      </c>
      <c r="E6" s="36">
        <f>30+17+55+10+50+30</f>
        <v>192</v>
      </c>
      <c r="F6" s="15" t="s">
        <v>101</v>
      </c>
      <c r="G6" s="36">
        <f>0</f>
        <v>0</v>
      </c>
      <c r="H6" s="15" t="s">
        <v>143</v>
      </c>
      <c r="I6" s="36">
        <f>0</f>
        <v>0</v>
      </c>
      <c r="J6" s="15" t="s">
        <v>126</v>
      </c>
    </row>
    <row r="7" spans="1:12" ht="17.100000000000001" customHeight="1" x14ac:dyDescent="0.35">
      <c r="A7" s="15">
        <f>0</f>
        <v>0</v>
      </c>
      <c r="B7" s="39" t="s">
        <v>77</v>
      </c>
      <c r="C7" s="55">
        <f>5+5</f>
        <v>10</v>
      </c>
      <c r="D7" s="55" t="s">
        <v>145</v>
      </c>
      <c r="E7" s="57">
        <f>0</f>
        <v>0</v>
      </c>
      <c r="F7" s="55" t="s">
        <v>160</v>
      </c>
      <c r="G7" s="57">
        <f>0</f>
        <v>0</v>
      </c>
      <c r="H7" s="55" t="s">
        <v>146</v>
      </c>
      <c r="I7" s="36">
        <f>20</f>
        <v>20</v>
      </c>
      <c r="J7" s="15" t="s">
        <v>142</v>
      </c>
    </row>
    <row r="8" spans="1:12" ht="17.100000000000001" customHeight="1" x14ac:dyDescent="0.35">
      <c r="A8" s="15">
        <f>8</f>
        <v>8</v>
      </c>
      <c r="B8" s="35" t="s">
        <v>103</v>
      </c>
      <c r="C8" s="36">
        <f>17+100+40+40+20</f>
        <v>217</v>
      </c>
      <c r="D8" s="15" t="s">
        <v>161</v>
      </c>
      <c r="E8" s="36">
        <f>17+60+10+7</f>
        <v>94</v>
      </c>
      <c r="F8" s="15" t="s">
        <v>162</v>
      </c>
      <c r="G8" s="36">
        <f>35+16+30+25+50</f>
        <v>156</v>
      </c>
      <c r="H8" s="15" t="s">
        <v>159</v>
      </c>
      <c r="I8" s="36">
        <f>0</f>
        <v>0</v>
      </c>
      <c r="J8" s="15" t="s">
        <v>147</v>
      </c>
    </row>
    <row r="9" spans="1:12" ht="17.100000000000001" customHeight="1" x14ac:dyDescent="0.35">
      <c r="A9" s="15">
        <f>0</f>
        <v>0</v>
      </c>
      <c r="B9" s="35" t="s">
        <v>212</v>
      </c>
      <c r="C9" s="57">
        <f>0</f>
        <v>0</v>
      </c>
      <c r="D9" s="55" t="s">
        <v>97</v>
      </c>
      <c r="E9" s="36">
        <f>50</f>
        <v>50</v>
      </c>
      <c r="F9" s="15" t="s">
        <v>179</v>
      </c>
      <c r="G9" s="57">
        <f>0</f>
        <v>0</v>
      </c>
      <c r="H9" s="55" t="s">
        <v>163</v>
      </c>
      <c r="I9" s="36">
        <f>6</f>
        <v>6</v>
      </c>
      <c r="J9" s="15" t="s">
        <v>158</v>
      </c>
    </row>
    <row r="10" spans="1:12" ht="17.100000000000001" customHeight="1" x14ac:dyDescent="0.35">
      <c r="A10" s="15">
        <f>55</f>
        <v>55</v>
      </c>
      <c r="B10" s="35" t="s">
        <v>85</v>
      </c>
      <c r="C10" s="36">
        <f>5</f>
        <v>5</v>
      </c>
      <c r="D10" s="15" t="s">
        <v>94</v>
      </c>
      <c r="E10" s="36">
        <f>18+9</f>
        <v>27</v>
      </c>
      <c r="F10" s="15" t="s">
        <v>69</v>
      </c>
      <c r="G10" s="36">
        <f>0</f>
        <v>0</v>
      </c>
      <c r="H10" s="15" t="s">
        <v>178</v>
      </c>
      <c r="I10" s="57">
        <f>0</f>
        <v>0</v>
      </c>
      <c r="J10" s="55" t="s">
        <v>164</v>
      </c>
    </row>
    <row r="11" spans="1:12" ht="17.100000000000001" customHeight="1" x14ac:dyDescent="0.35">
      <c r="A11" s="15">
        <f>9+18+8</f>
        <v>35</v>
      </c>
      <c r="B11" s="35" t="s">
        <v>180</v>
      </c>
      <c r="C11" s="36">
        <f>9</f>
        <v>9</v>
      </c>
      <c r="D11" s="15" t="s">
        <v>182</v>
      </c>
      <c r="E11" s="36">
        <f>35+50</f>
        <v>85</v>
      </c>
      <c r="F11" s="15" t="s">
        <v>183</v>
      </c>
      <c r="G11" s="36">
        <f>5</f>
        <v>5</v>
      </c>
      <c r="H11" s="15" t="s">
        <v>184</v>
      </c>
      <c r="I11" s="36">
        <f>0+40</f>
        <v>40</v>
      </c>
      <c r="J11" s="36" t="s">
        <v>177</v>
      </c>
      <c r="K11" s="39"/>
    </row>
    <row r="12" spans="1:12" ht="17.100000000000001" customHeight="1" x14ac:dyDescent="0.35">
      <c r="A12" s="15">
        <f>5+55+40+55+45+8+8</f>
        <v>216</v>
      </c>
      <c r="B12" s="35" t="s">
        <v>181</v>
      </c>
      <c r="C12" s="36">
        <f>30</f>
        <v>30</v>
      </c>
      <c r="D12" s="15" t="s">
        <v>201</v>
      </c>
      <c r="E12" s="36">
        <f>9+25+8+6+5</f>
        <v>53</v>
      </c>
      <c r="F12" s="15" t="s">
        <v>200</v>
      </c>
      <c r="G12" s="36">
        <f>15+17+18+5</f>
        <v>55</v>
      </c>
      <c r="H12" s="15" t="s">
        <v>74</v>
      </c>
      <c r="I12" s="36">
        <f>9</f>
        <v>9</v>
      </c>
      <c r="J12" s="15" t="s">
        <v>214</v>
      </c>
    </row>
    <row r="13" spans="1:12" ht="17.100000000000001" customHeight="1" x14ac:dyDescent="0.35">
      <c r="A13" s="15">
        <f>6+5+5</f>
        <v>16</v>
      </c>
      <c r="B13" s="35" t="s">
        <v>202</v>
      </c>
      <c r="C13" s="36">
        <f>0</f>
        <v>0</v>
      </c>
      <c r="D13" s="15" t="s">
        <v>203</v>
      </c>
      <c r="E13" s="36">
        <f>40+5+15+55+25</f>
        <v>140</v>
      </c>
      <c r="F13" s="15" t="s">
        <v>204</v>
      </c>
      <c r="G13" s="36">
        <f>60+100+100+45+60+17+100+300</f>
        <v>782</v>
      </c>
      <c r="H13" s="15" t="s">
        <v>205</v>
      </c>
      <c r="I13" s="36"/>
      <c r="J13" s="15"/>
    </row>
    <row r="14" spans="1:12" ht="17.100000000000001" hidden="1" customHeight="1" x14ac:dyDescent="0.35">
      <c r="A14" s="40"/>
      <c r="B14" s="35" t="s">
        <v>20</v>
      </c>
      <c r="C14" s="36"/>
      <c r="D14" s="15" t="s">
        <v>25</v>
      </c>
      <c r="E14" s="36"/>
      <c r="F14" s="15"/>
      <c r="G14" s="36"/>
      <c r="H14" s="15" t="s">
        <v>33</v>
      </c>
      <c r="I14" s="36"/>
      <c r="J14" s="15" t="s">
        <v>36</v>
      </c>
    </row>
    <row r="15" spans="1:12" ht="17.100000000000001" hidden="1" customHeight="1" x14ac:dyDescent="0.35">
      <c r="A15" s="15"/>
      <c r="B15" s="15"/>
      <c r="C15" s="36"/>
      <c r="D15" s="15"/>
      <c r="E15" s="36"/>
      <c r="F15" s="15"/>
      <c r="G15" s="36"/>
      <c r="H15" s="15"/>
      <c r="I15" s="36"/>
      <c r="J15" s="15"/>
    </row>
    <row r="16" spans="1:12" ht="17.100000000000001" customHeight="1" x14ac:dyDescent="0.35">
      <c r="A16" s="41">
        <f>SUM(A2:A13)</f>
        <v>3675</v>
      </c>
      <c r="B16" s="42"/>
      <c r="C16" s="41">
        <f>SUM(C2:C13)</f>
        <v>463</v>
      </c>
      <c r="D16" s="42"/>
      <c r="E16" s="41">
        <f>SUM(E2:E13)</f>
        <v>1109</v>
      </c>
      <c r="F16" s="42"/>
      <c r="G16" s="41">
        <f>SUM(G2:G13)</f>
        <v>1340</v>
      </c>
      <c r="H16" s="42"/>
      <c r="I16" s="41">
        <f>SUM(I2:I13)</f>
        <v>691</v>
      </c>
      <c r="J16" s="42"/>
    </row>
    <row r="17" spans="1:10" ht="17.100000000000001" customHeight="1" x14ac:dyDescent="0.45">
      <c r="A17" s="60">
        <f>A16-A57</f>
        <v>2517.666666666667</v>
      </c>
      <c r="B17" s="43"/>
      <c r="C17" s="58">
        <f>C16-A57</f>
        <v>-694.33333333333326</v>
      </c>
      <c r="D17" s="43"/>
      <c r="E17" s="44">
        <f>E16-A57</f>
        <v>-48.333333333333258</v>
      </c>
      <c r="F17" s="43"/>
      <c r="G17" s="46">
        <f>G16-A57</f>
        <v>182.66666666666674</v>
      </c>
      <c r="H17" s="43"/>
      <c r="I17" s="44">
        <f>I16-A57</f>
        <v>-466.33333333333326</v>
      </c>
      <c r="J17" s="43"/>
    </row>
    <row r="18" spans="1:10" ht="17.100000000000001" customHeight="1" x14ac:dyDescent="0.35">
      <c r="A18" s="45">
        <v>6</v>
      </c>
      <c r="B18" s="45" t="s">
        <v>18</v>
      </c>
      <c r="C18" s="45">
        <v>7</v>
      </c>
      <c r="D18" s="45" t="s">
        <v>9</v>
      </c>
      <c r="E18" s="45">
        <v>8</v>
      </c>
      <c r="F18" s="45" t="s">
        <v>8</v>
      </c>
      <c r="G18" s="45">
        <v>9</v>
      </c>
      <c r="H18" s="45" t="s">
        <v>14</v>
      </c>
      <c r="I18" s="45">
        <v>10</v>
      </c>
      <c r="J18" s="45" t="s">
        <v>15</v>
      </c>
    </row>
    <row r="19" spans="1:10" ht="17.100000000000001" customHeight="1" x14ac:dyDescent="0.35">
      <c r="A19" s="15">
        <f>50+18+30</f>
        <v>98</v>
      </c>
      <c r="B19" s="59" t="s">
        <v>108</v>
      </c>
      <c r="C19" s="36">
        <f>50+18+7+35+18+25+50+17+150</f>
        <v>370</v>
      </c>
      <c r="D19" s="15" t="s">
        <v>107</v>
      </c>
      <c r="E19" s="36">
        <f>7+60+20</f>
        <v>87</v>
      </c>
      <c r="F19" s="15" t="s">
        <v>109</v>
      </c>
      <c r="G19" s="36">
        <f>40+7+50+25+8+40+16+40+20+25+100</f>
        <v>371</v>
      </c>
      <c r="H19" s="15" t="s">
        <v>35</v>
      </c>
      <c r="I19" s="36">
        <f>0</f>
        <v>0</v>
      </c>
      <c r="J19" s="15" t="s">
        <v>110</v>
      </c>
    </row>
    <row r="20" spans="1:10" ht="17.100000000000001" customHeight="1" x14ac:dyDescent="0.35">
      <c r="A20" s="15">
        <f>100+17+60+5+60+100+50+100+60+30+565</f>
        <v>1147</v>
      </c>
      <c r="B20" s="15" t="s">
        <v>61</v>
      </c>
      <c r="C20" s="36">
        <f>55+5+55+35+50+20+45+25+30+650</f>
        <v>970</v>
      </c>
      <c r="D20" s="15" t="s">
        <v>63</v>
      </c>
      <c r="E20" s="36">
        <f>10+17+50</f>
        <v>77</v>
      </c>
      <c r="F20" s="15" t="s">
        <v>117</v>
      </c>
      <c r="G20" s="36">
        <f>60+50+100+5</f>
        <v>215</v>
      </c>
      <c r="H20" s="15" t="s">
        <v>100</v>
      </c>
      <c r="I20" s="57">
        <f>0</f>
        <v>0</v>
      </c>
      <c r="J20" s="55" t="s">
        <v>80</v>
      </c>
    </row>
    <row r="21" spans="1:10" ht="17.100000000000001" customHeight="1" x14ac:dyDescent="0.35">
      <c r="A21" s="15">
        <f>0</f>
        <v>0</v>
      </c>
      <c r="B21" s="15" t="s">
        <v>127</v>
      </c>
      <c r="C21" s="36">
        <f>35</f>
        <v>35</v>
      </c>
      <c r="D21" s="15" t="s">
        <v>120</v>
      </c>
      <c r="E21" s="36">
        <f>8</f>
        <v>8</v>
      </c>
      <c r="F21" s="15" t="s">
        <v>119</v>
      </c>
      <c r="G21" s="36">
        <f>60+25+100+20+60+60+50</f>
        <v>375</v>
      </c>
      <c r="H21" s="15" t="s">
        <v>75</v>
      </c>
      <c r="I21" s="36">
        <f>0</f>
        <v>0</v>
      </c>
      <c r="J21" s="15" t="s">
        <v>130</v>
      </c>
    </row>
    <row r="22" spans="1:10" ht="17.100000000000001" customHeight="1" x14ac:dyDescent="0.35">
      <c r="A22" s="15">
        <f>30+10</f>
        <v>40</v>
      </c>
      <c r="B22" s="15" t="s">
        <v>141</v>
      </c>
      <c r="C22" s="36">
        <f>0</f>
        <v>0</v>
      </c>
      <c r="D22" s="15" t="s">
        <v>128</v>
      </c>
      <c r="E22" s="57">
        <f>0</f>
        <v>0</v>
      </c>
      <c r="F22" s="55" t="s">
        <v>129</v>
      </c>
      <c r="G22" s="36">
        <f>5</f>
        <v>5</v>
      </c>
      <c r="H22" s="15" t="s">
        <v>218</v>
      </c>
      <c r="I22" s="36">
        <f>0</f>
        <v>0</v>
      </c>
      <c r="J22" s="15" t="s">
        <v>138</v>
      </c>
    </row>
    <row r="23" spans="1:10" ht="17.100000000000001" customHeight="1" x14ac:dyDescent="0.35">
      <c r="A23" s="55">
        <f>16+5</f>
        <v>21</v>
      </c>
      <c r="B23" s="55" t="s">
        <v>148</v>
      </c>
      <c r="C23" s="36">
        <f>0</f>
        <v>0</v>
      </c>
      <c r="D23" s="15" t="s">
        <v>140</v>
      </c>
      <c r="E23" s="36">
        <f>45+45+30+17+30+20+8+15+45+150</f>
        <v>405</v>
      </c>
      <c r="F23" s="15" t="s">
        <v>19</v>
      </c>
      <c r="G23" s="36">
        <f>0</f>
        <v>0</v>
      </c>
      <c r="H23" s="15" t="s">
        <v>28</v>
      </c>
      <c r="I23" s="57">
        <f>40+15+60+30</f>
        <v>145</v>
      </c>
      <c r="J23" s="55" t="s">
        <v>83</v>
      </c>
    </row>
    <row r="24" spans="1:10" ht="17.100000000000001" customHeight="1" x14ac:dyDescent="0.35">
      <c r="A24" s="55">
        <f>0</f>
        <v>0</v>
      </c>
      <c r="B24" s="55" t="s">
        <v>82</v>
      </c>
      <c r="C24" s="36">
        <f>10+45</f>
        <v>55</v>
      </c>
      <c r="D24" s="15" t="s">
        <v>65</v>
      </c>
      <c r="E24" s="36">
        <f>55+20+8+16+10</f>
        <v>109</v>
      </c>
      <c r="F24" s="15" t="s">
        <v>79</v>
      </c>
      <c r="G24" s="57">
        <f>0</f>
        <v>0</v>
      </c>
      <c r="H24" s="55" t="s">
        <v>139</v>
      </c>
      <c r="I24" s="36">
        <f>7</f>
        <v>7</v>
      </c>
      <c r="J24" s="15" t="s">
        <v>154</v>
      </c>
    </row>
    <row r="25" spans="1:10" ht="17.100000000000001" customHeight="1" x14ac:dyDescent="0.35">
      <c r="A25" s="55">
        <f>0</f>
        <v>0</v>
      </c>
      <c r="B25" s="55" t="s">
        <v>165</v>
      </c>
      <c r="C25" s="57">
        <f>20+5</f>
        <v>25</v>
      </c>
      <c r="D25" s="55" t="s">
        <v>157</v>
      </c>
      <c r="E25" s="36">
        <f>30+100+16</f>
        <v>146</v>
      </c>
      <c r="F25" s="15" t="s">
        <v>149</v>
      </c>
      <c r="G25" s="36">
        <f>45+55+18+16+25</f>
        <v>159</v>
      </c>
      <c r="H25" s="15" t="s">
        <v>150</v>
      </c>
      <c r="I25" s="36">
        <f>30+45+5+35+15</f>
        <v>130</v>
      </c>
      <c r="J25" s="15" t="s">
        <v>215</v>
      </c>
    </row>
    <row r="26" spans="1:10" ht="17.100000000000001" customHeight="1" x14ac:dyDescent="0.35">
      <c r="A26" s="15">
        <f>30+18+6+6+35+15+50</f>
        <v>160</v>
      </c>
      <c r="B26" s="15" t="s">
        <v>176</v>
      </c>
      <c r="C26" s="57">
        <f>0</f>
        <v>0</v>
      </c>
      <c r="D26" s="55" t="s">
        <v>166</v>
      </c>
      <c r="E26" s="59">
        <f>40+25+25+55+45+6+100+40</f>
        <v>336</v>
      </c>
      <c r="F26" s="15" t="s">
        <v>43</v>
      </c>
      <c r="G26" s="36">
        <f>0</f>
        <v>0</v>
      </c>
      <c r="H26" s="15" t="s">
        <v>155</v>
      </c>
      <c r="I26" s="36">
        <f>0</f>
        <v>0</v>
      </c>
      <c r="J26" s="15" t="s">
        <v>175</v>
      </c>
    </row>
    <row r="27" spans="1:10" ht="17.100000000000001" customHeight="1" x14ac:dyDescent="0.35">
      <c r="A27" s="15">
        <f>8+5</f>
        <v>13</v>
      </c>
      <c r="B27" s="15" t="s">
        <v>87</v>
      </c>
      <c r="C27" s="36">
        <f>5</f>
        <v>5</v>
      </c>
      <c r="D27" s="15" t="s">
        <v>96</v>
      </c>
      <c r="E27" s="36">
        <f>9+7+10+7+35+70</f>
        <v>138</v>
      </c>
      <c r="F27" s="15" t="s">
        <v>156</v>
      </c>
      <c r="G27" s="36">
        <f>15+5+5+5+5</f>
        <v>35</v>
      </c>
      <c r="H27" s="15" t="s">
        <v>167</v>
      </c>
      <c r="I27" s="36">
        <f>0</f>
        <v>0</v>
      </c>
      <c r="J27" s="15" t="s">
        <v>185</v>
      </c>
    </row>
    <row r="28" spans="1:10" ht="17.100000000000001" customHeight="1" x14ac:dyDescent="0.35">
      <c r="A28" s="15">
        <f>25+10+40+40+55+35+40</f>
        <v>245</v>
      </c>
      <c r="B28" s="15" t="s">
        <v>186</v>
      </c>
      <c r="C28" s="36">
        <f>0</f>
        <v>0</v>
      </c>
      <c r="D28" s="15" t="s">
        <v>188</v>
      </c>
      <c r="E28" s="36">
        <f>18</f>
        <v>18</v>
      </c>
      <c r="F28" s="15" t="s">
        <v>84</v>
      </c>
      <c r="G28" s="36">
        <f>0</f>
        <v>0</v>
      </c>
      <c r="H28" s="15" t="s">
        <v>213</v>
      </c>
      <c r="I28" s="36">
        <f>40</f>
        <v>40</v>
      </c>
      <c r="J28" s="15" t="s">
        <v>190</v>
      </c>
    </row>
    <row r="29" spans="1:10" ht="17.100000000000001" customHeight="1" x14ac:dyDescent="0.35">
      <c r="A29" s="15">
        <f>5</f>
        <v>5</v>
      </c>
      <c r="B29" s="15" t="s">
        <v>187</v>
      </c>
      <c r="C29" s="36">
        <f>17</f>
        <v>17</v>
      </c>
      <c r="D29" s="15" t="s">
        <v>216</v>
      </c>
      <c r="E29" s="36">
        <f>0</f>
        <v>0</v>
      </c>
      <c r="F29" s="56" t="s">
        <v>31</v>
      </c>
      <c r="G29" s="36">
        <f>9+18+17+5+50+17</f>
        <v>116</v>
      </c>
      <c r="H29" s="15" t="s">
        <v>189</v>
      </c>
      <c r="I29" s="36">
        <f>100+30</f>
        <v>130</v>
      </c>
      <c r="J29" s="15" t="s">
        <v>191</v>
      </c>
    </row>
    <row r="30" spans="1:10" ht="17.100000000000001" hidden="1" customHeight="1" x14ac:dyDescent="0.35">
      <c r="A30" s="15"/>
      <c r="B30" s="15" t="s">
        <v>41</v>
      </c>
      <c r="C30" s="36"/>
      <c r="D30" s="15" t="s">
        <v>42</v>
      </c>
      <c r="E30" s="36"/>
      <c r="F30" s="15" t="s">
        <v>44</v>
      </c>
      <c r="G30" s="36"/>
      <c r="H30" s="15" t="s">
        <v>22</v>
      </c>
      <c r="I30" s="36"/>
      <c r="J30" s="15" t="s">
        <v>45</v>
      </c>
    </row>
    <row r="31" spans="1:10" ht="17.100000000000001" hidden="1" customHeight="1" x14ac:dyDescent="0.35">
      <c r="A31" s="40"/>
      <c r="B31" s="15" t="s">
        <v>23</v>
      </c>
      <c r="C31" s="36"/>
      <c r="D31" s="15" t="s">
        <v>27</v>
      </c>
      <c r="E31" s="36"/>
      <c r="F31" s="15" t="s">
        <v>31</v>
      </c>
      <c r="G31" s="36"/>
      <c r="H31" s="15" t="s">
        <v>34</v>
      </c>
      <c r="I31" s="36"/>
      <c r="J31" s="15" t="s">
        <v>37</v>
      </c>
    </row>
    <row r="32" spans="1:10" ht="17.100000000000001" hidden="1" customHeight="1" x14ac:dyDescent="0.35">
      <c r="A32" s="15"/>
      <c r="B32" s="15"/>
      <c r="C32" s="36"/>
      <c r="D32" s="15"/>
      <c r="E32" s="36"/>
      <c r="F32" s="15"/>
      <c r="G32" s="36"/>
      <c r="H32" s="15"/>
      <c r="I32" s="36"/>
      <c r="J32" s="15"/>
    </row>
    <row r="33" spans="1:10" ht="17.100000000000001" customHeight="1" x14ac:dyDescent="0.35">
      <c r="A33" s="15">
        <f>0</f>
        <v>0</v>
      </c>
      <c r="B33" s="15" t="s">
        <v>199</v>
      </c>
      <c r="C33" s="36">
        <f>5+5+9+5</f>
        <v>24</v>
      </c>
      <c r="D33" s="15" t="s">
        <v>217</v>
      </c>
      <c r="E33" s="36">
        <f>17</f>
        <v>17</v>
      </c>
      <c r="F33" s="15" t="s">
        <v>198</v>
      </c>
      <c r="G33" s="36">
        <f>20+16+20+20+45+30+35+35+16+7+80</f>
        <v>324</v>
      </c>
      <c r="H33" s="15" t="s">
        <v>57</v>
      </c>
      <c r="I33" s="36">
        <f>15</f>
        <v>15</v>
      </c>
      <c r="J33" s="15" t="s">
        <v>67</v>
      </c>
    </row>
    <row r="34" spans="1:10" ht="17.100000000000001" customHeight="1" x14ac:dyDescent="0.35">
      <c r="A34" s="41">
        <f>SUM(A19:A33)</f>
        <v>1729</v>
      </c>
      <c r="B34" s="42"/>
      <c r="C34" s="41">
        <f>SUM(C19:C33)</f>
        <v>1501</v>
      </c>
      <c r="D34" s="42"/>
      <c r="E34" s="41">
        <f>SUM(E19:E33)</f>
        <v>1341</v>
      </c>
      <c r="F34" s="42"/>
      <c r="G34" s="41">
        <f>SUM(G19:G33)</f>
        <v>1600</v>
      </c>
      <c r="H34" s="42"/>
      <c r="I34" s="41">
        <f>SUM(I19:I33)</f>
        <v>467</v>
      </c>
      <c r="J34" s="42"/>
    </row>
    <row r="35" spans="1:10" ht="17.100000000000001" customHeight="1" x14ac:dyDescent="0.45">
      <c r="A35" s="60">
        <f>A34-A57</f>
        <v>571.66666666666674</v>
      </c>
      <c r="B35" s="43"/>
      <c r="C35" s="44">
        <f>C34-A57</f>
        <v>343.66666666666674</v>
      </c>
      <c r="D35" s="43"/>
      <c r="E35" s="46">
        <f>E34-A57</f>
        <v>183.66666666666674</v>
      </c>
      <c r="F35" s="43"/>
      <c r="G35" s="46">
        <f>G34-A57</f>
        <v>442.66666666666674</v>
      </c>
      <c r="H35" s="43"/>
      <c r="I35" s="44">
        <f>I34-A57</f>
        <v>-690.33333333333326</v>
      </c>
      <c r="J35" s="43"/>
    </row>
    <row r="36" spans="1:10" ht="17.100000000000001" customHeight="1" x14ac:dyDescent="0.35">
      <c r="A36" s="45">
        <v>11</v>
      </c>
      <c r="B36" s="45" t="s">
        <v>7</v>
      </c>
      <c r="C36" s="45">
        <v>12</v>
      </c>
      <c r="D36" s="45" t="s">
        <v>10</v>
      </c>
      <c r="E36" s="45">
        <v>13</v>
      </c>
      <c r="F36" s="45" t="s">
        <v>17</v>
      </c>
      <c r="G36" s="45">
        <v>14</v>
      </c>
      <c r="H36" s="45" t="s">
        <v>11</v>
      </c>
      <c r="I36" s="45">
        <v>15</v>
      </c>
      <c r="J36" s="45" t="s">
        <v>13</v>
      </c>
    </row>
    <row r="37" spans="1:10" ht="17.100000000000001" customHeight="1" x14ac:dyDescent="0.35">
      <c r="A37" s="55">
        <f>17</f>
        <v>17</v>
      </c>
      <c r="B37" s="55" t="s">
        <v>98</v>
      </c>
      <c r="C37" s="36">
        <f>7</f>
        <v>7</v>
      </c>
      <c r="D37" s="15" t="s">
        <v>111</v>
      </c>
      <c r="E37" s="36">
        <f>40+17+15+16+45+45</f>
        <v>178</v>
      </c>
      <c r="F37" s="15" t="s">
        <v>112</v>
      </c>
      <c r="G37" s="36">
        <f>0</f>
        <v>0</v>
      </c>
      <c r="H37" s="15" t="s">
        <v>113</v>
      </c>
      <c r="I37" s="36">
        <f>18+8+17</f>
        <v>43</v>
      </c>
      <c r="J37" s="15" t="s">
        <v>53</v>
      </c>
    </row>
    <row r="38" spans="1:10" ht="17.100000000000001" customHeight="1" x14ac:dyDescent="0.35">
      <c r="A38" s="55">
        <f>10</f>
        <v>10</v>
      </c>
      <c r="B38" s="55" t="s">
        <v>81</v>
      </c>
      <c r="C38" s="36">
        <f>5+45+16</f>
        <v>66</v>
      </c>
      <c r="D38" s="15" t="s">
        <v>59</v>
      </c>
      <c r="E38" s="36">
        <f>0</f>
        <v>0</v>
      </c>
      <c r="F38" s="15" t="s">
        <v>70</v>
      </c>
      <c r="G38" s="57">
        <f>0</f>
        <v>0</v>
      </c>
      <c r="H38" s="55" t="s">
        <v>116</v>
      </c>
      <c r="I38" s="47">
        <f>10+25</f>
        <v>35</v>
      </c>
      <c r="J38" s="15" t="s">
        <v>114</v>
      </c>
    </row>
    <row r="39" spans="1:10" ht="17.100000000000001" customHeight="1" x14ac:dyDescent="0.35">
      <c r="A39" s="15">
        <f>0</f>
        <v>0</v>
      </c>
      <c r="B39" s="15" t="s">
        <v>131</v>
      </c>
      <c r="C39" s="36">
        <f>25+5+9</f>
        <v>39</v>
      </c>
      <c r="D39" s="15" t="s">
        <v>132</v>
      </c>
      <c r="E39" s="36">
        <f>55+30</f>
        <v>85</v>
      </c>
      <c r="F39" s="15" t="s">
        <v>133</v>
      </c>
      <c r="G39" s="57">
        <f>5</f>
        <v>5</v>
      </c>
      <c r="H39" s="55" t="s">
        <v>71</v>
      </c>
      <c r="I39" s="36">
        <f>35+6+5+40+6+20+85</f>
        <v>197</v>
      </c>
      <c r="J39" s="15" t="s">
        <v>115</v>
      </c>
    </row>
    <row r="40" spans="1:10" ht="17.100000000000001" customHeight="1" x14ac:dyDescent="0.35">
      <c r="A40" s="15">
        <f>8+25+10+7+6</f>
        <v>56</v>
      </c>
      <c r="B40" s="15" t="s">
        <v>72</v>
      </c>
      <c r="C40" s="36">
        <f>0</f>
        <v>0</v>
      </c>
      <c r="D40" s="15" t="s">
        <v>66</v>
      </c>
      <c r="E40" s="57">
        <f>0</f>
        <v>0</v>
      </c>
      <c r="F40" s="55" t="s">
        <v>137</v>
      </c>
      <c r="G40" s="36">
        <f>50+5+35+100+15</f>
        <v>205</v>
      </c>
      <c r="H40" s="15" t="s">
        <v>136</v>
      </c>
      <c r="I40" s="57">
        <f>0</f>
        <v>0</v>
      </c>
      <c r="J40" s="55" t="s">
        <v>134</v>
      </c>
    </row>
    <row r="41" spans="1:10" ht="17.100000000000001" customHeight="1" x14ac:dyDescent="0.35">
      <c r="A41" s="15">
        <f>0</f>
        <v>0</v>
      </c>
      <c r="B41" s="15" t="s">
        <v>86</v>
      </c>
      <c r="C41" s="36">
        <f>45+5+10+25+6</f>
        <v>91</v>
      </c>
      <c r="D41" s="15" t="s">
        <v>78</v>
      </c>
      <c r="E41" s="36">
        <f>6+6+45+5</f>
        <v>62</v>
      </c>
      <c r="F41" s="15" t="s">
        <v>104</v>
      </c>
      <c r="G41" s="57">
        <f>7+20+5</f>
        <v>32</v>
      </c>
      <c r="H41" s="55" t="s">
        <v>211</v>
      </c>
      <c r="I41" s="36">
        <f>10+50+15</f>
        <v>75</v>
      </c>
      <c r="J41" s="15" t="s">
        <v>135</v>
      </c>
    </row>
    <row r="42" spans="1:10" ht="17.100000000000001" customHeight="1" x14ac:dyDescent="0.35">
      <c r="A42" s="15">
        <f>7+20+15+6+10</f>
        <v>58</v>
      </c>
      <c r="B42" s="15" t="s">
        <v>153</v>
      </c>
      <c r="C42" s="36">
        <f>9+8+60+65</f>
        <v>142</v>
      </c>
      <c r="D42" s="15" t="s">
        <v>56</v>
      </c>
      <c r="E42" s="36">
        <f>8+18+8+16+55+16+30+10+145</f>
        <v>306</v>
      </c>
      <c r="F42" s="15" t="s">
        <v>60</v>
      </c>
      <c r="G42" s="36">
        <f>0</f>
        <v>0</v>
      </c>
      <c r="H42" s="15" t="s">
        <v>152</v>
      </c>
      <c r="I42" s="36">
        <f>35+35+18+9</f>
        <v>97</v>
      </c>
      <c r="J42" s="15" t="s">
        <v>151</v>
      </c>
    </row>
    <row r="43" spans="1:10" ht="17.100000000000001" customHeight="1" x14ac:dyDescent="0.35">
      <c r="A43" s="15">
        <f>0</f>
        <v>0</v>
      </c>
      <c r="B43" s="15" t="s">
        <v>168</v>
      </c>
      <c r="C43" s="36">
        <f>0</f>
        <v>0</v>
      </c>
      <c r="D43" s="15" t="s">
        <v>169</v>
      </c>
      <c r="E43" s="36">
        <f>35+60+8+15</f>
        <v>118</v>
      </c>
      <c r="F43" s="15" t="s">
        <v>170</v>
      </c>
      <c r="G43" s="36">
        <f>35+60+16+15+7+18+35</f>
        <v>186</v>
      </c>
      <c r="H43" s="15" t="s">
        <v>24</v>
      </c>
      <c r="I43" s="36">
        <f>18</f>
        <v>18</v>
      </c>
      <c r="J43" s="15" t="s">
        <v>219</v>
      </c>
    </row>
    <row r="44" spans="1:10" ht="17.100000000000001" customHeight="1" x14ac:dyDescent="0.35">
      <c r="A44" s="15">
        <f>15+15+30+18</f>
        <v>78</v>
      </c>
      <c r="B44" s="15" t="s">
        <v>174</v>
      </c>
      <c r="C44" s="36">
        <f>0</f>
        <v>0</v>
      </c>
      <c r="D44" s="15" t="s">
        <v>76</v>
      </c>
      <c r="E44" s="57">
        <f>0</f>
        <v>0</v>
      </c>
      <c r="F44" s="55" t="s">
        <v>92</v>
      </c>
      <c r="G44" s="36">
        <f>7+7+9</f>
        <v>23</v>
      </c>
      <c r="H44" s="15" t="s">
        <v>173</v>
      </c>
      <c r="I44" s="36">
        <f>35</f>
        <v>35</v>
      </c>
      <c r="J44" s="15" t="s">
        <v>171</v>
      </c>
    </row>
    <row r="45" spans="1:10" ht="17.100000000000001" customHeight="1" x14ac:dyDescent="0.35">
      <c r="A45" s="15">
        <f>0</f>
        <v>0</v>
      </c>
      <c r="B45" s="15" t="s">
        <v>192</v>
      </c>
      <c r="C45" s="36">
        <f>8+9+15</f>
        <v>32</v>
      </c>
      <c r="D45" s="15" t="s">
        <v>193</v>
      </c>
      <c r="E45" s="36">
        <f>15+25+55</f>
        <v>95</v>
      </c>
      <c r="F45" s="15" t="s">
        <v>194</v>
      </c>
      <c r="G45" s="36">
        <f>0</f>
        <v>0</v>
      </c>
      <c r="H45" s="15" t="s">
        <v>58</v>
      </c>
      <c r="I45" s="36">
        <f>7+45+50+100</f>
        <v>202</v>
      </c>
      <c r="J45" s="15" t="s">
        <v>172</v>
      </c>
    </row>
    <row r="46" spans="1:10" ht="17.100000000000001" customHeight="1" x14ac:dyDescent="0.35">
      <c r="A46" s="15">
        <f>16+16+7</f>
        <v>39</v>
      </c>
      <c r="B46" s="15" t="s">
        <v>90</v>
      </c>
      <c r="C46" s="36">
        <f>30+15+45+15+17+35+9+225</f>
        <v>391</v>
      </c>
      <c r="D46" s="15" t="s">
        <v>197</v>
      </c>
      <c r="E46" s="36">
        <f>20</f>
        <v>20</v>
      </c>
      <c r="F46" s="15" t="s">
        <v>196</v>
      </c>
      <c r="G46" s="36">
        <f>9+10+15+30</f>
        <v>64</v>
      </c>
      <c r="H46" s="15" t="s">
        <v>51</v>
      </c>
      <c r="I46" s="36">
        <f>5+100+60+30+20+40</f>
        <v>255</v>
      </c>
      <c r="J46" s="15" t="s">
        <v>195</v>
      </c>
    </row>
    <row r="47" spans="1:10" ht="17.100000000000001" customHeight="1" x14ac:dyDescent="0.35">
      <c r="A47" s="55">
        <f>5</f>
        <v>5</v>
      </c>
      <c r="B47" s="55" t="s">
        <v>73</v>
      </c>
      <c r="C47" s="57">
        <f>7</f>
        <v>7</v>
      </c>
      <c r="D47" s="55" t="s">
        <v>208</v>
      </c>
      <c r="E47" s="36">
        <f>5</f>
        <v>5</v>
      </c>
      <c r="F47" s="15" t="s">
        <v>207</v>
      </c>
      <c r="G47" s="36">
        <f>5+40</f>
        <v>45</v>
      </c>
      <c r="H47" s="15" t="s">
        <v>206</v>
      </c>
      <c r="I47" s="36">
        <f>20</f>
        <v>20</v>
      </c>
      <c r="J47" s="15" t="s">
        <v>209</v>
      </c>
    </row>
    <row r="48" spans="1:10" ht="17.100000000000001" customHeight="1" x14ac:dyDescent="0.35">
      <c r="A48" s="15"/>
      <c r="B48" s="15"/>
      <c r="C48" s="37"/>
      <c r="D48" s="38" t="s">
        <v>48</v>
      </c>
      <c r="E48" s="36">
        <f>0</f>
        <v>0</v>
      </c>
      <c r="F48" s="15" t="s">
        <v>210</v>
      </c>
      <c r="G48" s="36">
        <f>0</f>
        <v>0</v>
      </c>
      <c r="H48" s="15" t="s">
        <v>68</v>
      </c>
      <c r="I48" s="36"/>
      <c r="J48" s="15"/>
    </row>
    <row r="49" spans="1:10" ht="17.100000000000001" hidden="1" customHeight="1" x14ac:dyDescent="0.35">
      <c r="A49" s="48"/>
      <c r="B49" s="15" t="s">
        <v>26</v>
      </c>
      <c r="C49" s="48"/>
      <c r="D49" s="15" t="s">
        <v>47</v>
      </c>
      <c r="E49" s="48"/>
      <c r="F49" s="15" t="s">
        <v>49</v>
      </c>
      <c r="G49" s="48"/>
      <c r="H49" s="15" t="s">
        <v>52</v>
      </c>
      <c r="I49" s="48"/>
      <c r="J49" s="15" t="s">
        <v>29</v>
      </c>
    </row>
    <row r="50" spans="1:10" ht="17.100000000000001" hidden="1" customHeight="1" x14ac:dyDescent="0.35">
      <c r="A50" s="48"/>
      <c r="B50" s="15" t="s">
        <v>46</v>
      </c>
      <c r="C50" s="48"/>
      <c r="D50" s="15" t="s">
        <v>48</v>
      </c>
      <c r="E50" s="48"/>
      <c r="F50" s="15" t="s">
        <v>50</v>
      </c>
      <c r="G50" s="48"/>
      <c r="H50" s="15" t="s">
        <v>34</v>
      </c>
      <c r="I50" s="48"/>
      <c r="J50" s="15" t="s">
        <v>30</v>
      </c>
    </row>
    <row r="51" spans="1:10" ht="17.100000000000001" hidden="1" customHeight="1" x14ac:dyDescent="0.35">
      <c r="A51" s="48"/>
      <c r="B51" s="17"/>
      <c r="C51" s="48"/>
      <c r="D51" s="17"/>
      <c r="E51" s="48"/>
      <c r="F51" s="17"/>
      <c r="G51" s="48"/>
      <c r="H51" s="17"/>
      <c r="I51" s="48"/>
      <c r="J51" s="17"/>
    </row>
    <row r="52" spans="1:10" ht="17.100000000000001" hidden="1" customHeight="1" x14ac:dyDescent="0.35">
      <c r="A52" s="48"/>
      <c r="B52" s="17"/>
      <c r="C52" s="48"/>
      <c r="D52" s="17"/>
      <c r="E52" s="48"/>
      <c r="F52" s="17"/>
      <c r="G52" s="48"/>
      <c r="H52" s="17"/>
      <c r="I52" s="48"/>
      <c r="J52" s="17"/>
    </row>
    <row r="53" spans="1:10" ht="17.100000000000001" customHeight="1" x14ac:dyDescent="0.35">
      <c r="A53" s="41">
        <f>SUM(A37:A47)</f>
        <v>263</v>
      </c>
      <c r="B53" s="49"/>
      <c r="C53" s="41">
        <f>SUM(C37:C48)</f>
        <v>775</v>
      </c>
      <c r="D53" s="49"/>
      <c r="E53" s="41">
        <f>SUM(E37:E48)</f>
        <v>869</v>
      </c>
      <c r="F53" s="17"/>
      <c r="G53" s="41">
        <f>SUM(G37:G48)</f>
        <v>560</v>
      </c>
      <c r="H53" s="49"/>
      <c r="I53" s="41">
        <f>SUM(I37:I48)</f>
        <v>977</v>
      </c>
      <c r="J53" s="50"/>
    </row>
    <row r="54" spans="1:10" ht="17.100000000000001" customHeight="1" x14ac:dyDescent="0.35">
      <c r="A54" s="51">
        <f>A53-A57</f>
        <v>-894.33333333333326</v>
      </c>
      <c r="B54" s="52"/>
      <c r="C54" s="51">
        <f>C53-A57</f>
        <v>-382.33333333333326</v>
      </c>
      <c r="D54" s="52"/>
      <c r="E54" s="51">
        <f>E53-A57</f>
        <v>-288.33333333333326</v>
      </c>
      <c r="F54" s="52"/>
      <c r="G54" s="51">
        <f>G53-A57</f>
        <v>-597.33333333333326</v>
      </c>
      <c r="H54" s="52"/>
      <c r="I54" s="51">
        <f>I53-A57</f>
        <v>-180.33333333333326</v>
      </c>
      <c r="J54" s="50"/>
    </row>
    <row r="55" spans="1:10" ht="17.100000000000001" customHeight="1" x14ac:dyDescent="0.35">
      <c r="A55" s="39"/>
      <c r="G55" t="s">
        <v>5</v>
      </c>
    </row>
    <row r="56" spans="1:10" ht="17.100000000000001" customHeight="1" x14ac:dyDescent="0.35">
      <c r="A56" s="22">
        <f>(A16+C16+E16+G16+I16+A34+C34+E34+G34+I34+A53+C53+E53+G53+I53)</f>
        <v>17360</v>
      </c>
      <c r="B56" s="53" t="s">
        <v>4</v>
      </c>
    </row>
    <row r="57" spans="1:10" ht="17.100000000000001" customHeight="1" x14ac:dyDescent="0.35">
      <c r="A57" s="39">
        <f>A56/15</f>
        <v>1157.3333333333333</v>
      </c>
      <c r="B57" s="54"/>
      <c r="C57" s="54"/>
      <c r="D57" s="54"/>
      <c r="E57" s="54"/>
      <c r="F57" s="54"/>
      <c r="G57" s="54"/>
      <c r="H57" s="54"/>
      <c r="I57" s="54"/>
      <c r="J57" s="54"/>
    </row>
  </sheetData>
  <phoneticPr fontId="4" type="noConversion"/>
  <printOptions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 alignWithMargins="0">
    <oddHeader xml:space="preserve">&amp;CVuelta 2023
</oddHeader>
    <oddFooter>&amp;C17.9.23 Schluss
&amp;Rg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4"/>
  <sheetViews>
    <sheetView workbookViewId="0">
      <selection activeCell="A4" sqref="A4"/>
    </sheetView>
  </sheetViews>
  <sheetFormatPr baseColWidth="10" defaultColWidth="5.7109375" defaultRowHeight="26.1" customHeight="1" x14ac:dyDescent="0.65"/>
  <cols>
    <col min="1" max="1" width="25.7109375" style="1" customWidth="1"/>
    <col min="2" max="21" width="6.5703125" style="1" hidden="1" customWidth="1"/>
    <col min="22" max="22" width="17.7109375" style="1" customWidth="1"/>
    <col min="23" max="26" width="18.85546875" style="1" customWidth="1"/>
    <col min="27" max="27" width="21.42578125" style="1" customWidth="1"/>
    <col min="28" max="28" width="6.5703125" style="1" customWidth="1"/>
    <col min="29" max="16384" width="5.7109375" style="1"/>
  </cols>
  <sheetData>
    <row r="1" spans="1:28" ht="30.75" thickBot="1" x14ac:dyDescent="0.9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8" ht="19.5" thickBot="1" x14ac:dyDescent="0.7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2"/>
      <c r="W2" s="12"/>
      <c r="X2" s="12"/>
      <c r="Y2" s="12"/>
      <c r="Z2" s="12"/>
      <c r="AA2" s="12"/>
      <c r="AB2" s="4"/>
    </row>
    <row r="3" spans="1:28" ht="19.5" thickBot="1" x14ac:dyDescent="0.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3"/>
      <c r="W3" s="14"/>
      <c r="X3" s="14"/>
      <c r="Y3" s="14"/>
      <c r="Z3" s="14"/>
      <c r="AA3" s="14"/>
      <c r="AB3" s="4"/>
    </row>
    <row r="4" spans="1:28" ht="23.1" customHeight="1" thickBot="1" x14ac:dyDescent="0.7">
      <c r="A4" s="2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"/>
      <c r="W4" s="12"/>
      <c r="X4" s="12"/>
      <c r="Y4" s="33"/>
      <c r="Z4" s="33"/>
      <c r="AA4" s="32"/>
      <c r="AB4" s="4"/>
    </row>
    <row r="5" spans="1:28" ht="23.1" customHeight="1" thickBot="1" x14ac:dyDescent="0.7">
      <c r="A5" s="2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2"/>
      <c r="W5" s="12"/>
      <c r="X5" s="12"/>
      <c r="Y5" s="12"/>
      <c r="Z5" s="12"/>
      <c r="AA5" s="12"/>
    </row>
    <row r="6" spans="1:28" ht="23.1" customHeight="1" thickBot="1" x14ac:dyDescent="0.7">
      <c r="A6" s="2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"/>
      <c r="W6" s="12"/>
      <c r="X6" s="12"/>
      <c r="Y6" s="12"/>
      <c r="Z6" s="12"/>
      <c r="AA6" s="12"/>
    </row>
    <row r="7" spans="1:28" ht="23.1" customHeight="1" thickBot="1" x14ac:dyDescent="0.7">
      <c r="A7" s="2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2"/>
      <c r="W7" s="12"/>
      <c r="X7" s="12"/>
      <c r="Y7" s="12"/>
      <c r="Z7" s="12"/>
      <c r="AA7" s="12"/>
    </row>
    <row r="8" spans="1:28" ht="23.1" customHeight="1" thickBot="1" x14ac:dyDescent="0.7">
      <c r="A8" s="2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2"/>
      <c r="W8" s="12"/>
      <c r="X8" s="12"/>
      <c r="Y8" s="12"/>
      <c r="Z8" s="12"/>
      <c r="AA8" s="12"/>
    </row>
    <row r="9" spans="1:28" ht="23.1" customHeight="1" thickBot="1" x14ac:dyDescent="0.7">
      <c r="A9" s="2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2"/>
      <c r="W9" s="12"/>
      <c r="X9" s="12"/>
      <c r="Y9" s="12"/>
      <c r="Z9" s="12"/>
      <c r="AA9" s="12"/>
    </row>
    <row r="10" spans="1:28" ht="23.1" customHeight="1" thickBot="1" x14ac:dyDescent="0.7">
      <c r="A10" s="2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12"/>
      <c r="X10" s="12"/>
      <c r="Y10" s="12"/>
      <c r="Z10" s="12"/>
      <c r="AA10" s="12"/>
    </row>
    <row r="11" spans="1:28" ht="23.1" customHeight="1" thickBot="1" x14ac:dyDescent="0.7">
      <c r="A11" s="2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2"/>
      <c r="W11" s="12"/>
      <c r="X11" s="12"/>
      <c r="Y11" s="12"/>
      <c r="Z11" s="12"/>
      <c r="AA11" s="12"/>
    </row>
    <row r="12" spans="1:28" ht="23.1" customHeight="1" thickBot="1" x14ac:dyDescent="0.7">
      <c r="A12" s="2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2"/>
      <c r="W12" s="12"/>
      <c r="X12" s="12"/>
      <c r="Y12" s="12"/>
      <c r="Z12" s="12"/>
      <c r="AA12" s="12"/>
    </row>
    <row r="13" spans="1:28" ht="23.1" customHeight="1" thickBot="1" x14ac:dyDescent="0.7">
      <c r="A13" s="2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2"/>
      <c r="W13" s="12"/>
      <c r="X13" s="12"/>
      <c r="Y13" s="12"/>
      <c r="Z13" s="12"/>
      <c r="AA13" s="12"/>
    </row>
    <row r="14" spans="1:28" ht="23.1" customHeight="1" thickBot="1" x14ac:dyDescent="0.7">
      <c r="A14" s="2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2"/>
      <c r="W14" s="12"/>
      <c r="X14" s="12"/>
      <c r="Y14" s="12"/>
      <c r="Z14" s="12"/>
      <c r="AA14" s="12"/>
    </row>
    <row r="15" spans="1:28" ht="23.1" customHeight="1" thickBot="1" x14ac:dyDescent="0.7">
      <c r="A15" s="2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2"/>
      <c r="W15" s="12"/>
      <c r="X15" s="12"/>
      <c r="Y15" s="12"/>
      <c r="Z15" s="12"/>
      <c r="AA15" s="12"/>
    </row>
    <row r="16" spans="1:28" ht="23.1" customHeight="1" thickBot="1" x14ac:dyDescent="0.7">
      <c r="A16" s="2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2"/>
      <c r="W16" s="12"/>
      <c r="X16" s="12"/>
      <c r="Y16" s="12"/>
      <c r="Z16" s="12"/>
      <c r="AA16" s="31"/>
    </row>
    <row r="17" spans="1:27" ht="23.1" customHeight="1" thickBot="1" x14ac:dyDescent="0.7">
      <c r="A17" s="2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2"/>
      <c r="W17" s="29"/>
      <c r="X17" s="12"/>
      <c r="Y17" s="12"/>
      <c r="Z17" s="12"/>
      <c r="AA17" s="12"/>
    </row>
    <row r="18" spans="1:27" ht="23.1" customHeight="1" thickBot="1" x14ac:dyDescent="0.7">
      <c r="A18" s="2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12"/>
      <c r="X18" s="12"/>
      <c r="Y18" s="12"/>
      <c r="Z18" s="12"/>
      <c r="AA18" s="12"/>
    </row>
    <row r="19" spans="1:27" ht="23.1" customHeight="1" thickBot="1" x14ac:dyDescent="0.7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33"/>
    </row>
    <row r="20" spans="1:27" ht="23.1" customHeight="1" thickBot="1" x14ac:dyDescent="0.7">
      <c r="A20" s="2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2"/>
      <c r="W20" s="12"/>
      <c r="X20" s="12"/>
      <c r="Y20" s="12"/>
      <c r="Z20" s="12"/>
      <c r="AA20" s="12"/>
    </row>
    <row r="21" spans="1:27" ht="23.1" customHeight="1" thickBot="1" x14ac:dyDescent="0.7">
      <c r="A21" s="2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12"/>
      <c r="Y21" s="12"/>
      <c r="Z21" s="12"/>
      <c r="AA21" s="12"/>
    </row>
    <row r="22" spans="1:27" ht="23.1" customHeight="1" thickBot="1" x14ac:dyDescent="0.7">
      <c r="A22" s="2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W22" s="12"/>
      <c r="X22" s="12"/>
      <c r="Y22" s="12"/>
      <c r="Z22" s="12"/>
      <c r="AA22" s="12"/>
    </row>
    <row r="23" spans="1:27" ht="23.1" customHeight="1" thickBot="1" x14ac:dyDescent="0.7">
      <c r="A23" s="2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12"/>
      <c r="X23" s="12"/>
      <c r="Y23" s="12"/>
      <c r="Z23" s="12"/>
      <c r="AA23" s="12"/>
    </row>
    <row r="24" spans="1:27" ht="23.1" customHeight="1" thickBot="1" x14ac:dyDescent="0.7">
      <c r="A24" s="2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2"/>
      <c r="W24" s="12"/>
      <c r="X24" s="12"/>
      <c r="Y24" s="12"/>
      <c r="Z24" s="12"/>
      <c r="AA24" s="34"/>
    </row>
    <row r="25" spans="1:27" ht="23.1" hidden="1" customHeight="1" x14ac:dyDescent="0.65">
      <c r="A25" s="10"/>
      <c r="V25" s="11"/>
      <c r="W25" s="11"/>
      <c r="X25" s="11"/>
      <c r="Y25" s="11"/>
      <c r="Z25" s="11"/>
    </row>
    <row r="26" spans="1:27" ht="23.1" customHeight="1" x14ac:dyDescent="0.65">
      <c r="A26" s="4"/>
    </row>
    <row r="27" spans="1:27" ht="23.1" customHeight="1" x14ac:dyDescent="0.65">
      <c r="A27" s="4"/>
    </row>
    <row r="28" spans="1:27" ht="26.1" customHeight="1" x14ac:dyDescent="0.6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7" ht="26.1" customHeight="1" x14ac:dyDescent="0.6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7" ht="26.1" customHeight="1" x14ac:dyDescent="0.6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7" ht="26.1" customHeight="1" x14ac:dyDescent="0.6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7" ht="26.1" customHeight="1" x14ac:dyDescent="0.6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2:23" ht="26.1" customHeight="1" x14ac:dyDescent="0.6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2:23" ht="26.1" customHeight="1" x14ac:dyDescent="0.6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</sheetData>
  <phoneticPr fontId="4" type="noConversion"/>
  <printOptions headings="1" gridLines="1" gridLinesSet="0"/>
  <pageMargins left="0" right="0" top="0" bottom="0" header="0.4921259845" footer="0.4921259845"/>
  <pageSetup paperSize="9" orientation="portrait" horizontalDpi="300" verticalDpi="4294967292" r:id="rId1"/>
  <headerFooter alignWithMargins="0">
    <oddFooter xml:space="preserve">&amp;L&amp;"IBM3270,Standard"&amp;6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7"/>
  <sheetViews>
    <sheetView workbookViewId="0">
      <selection activeCell="B3" sqref="B3:D27"/>
    </sheetView>
  </sheetViews>
  <sheetFormatPr baseColWidth="10" defaultColWidth="13.7109375" defaultRowHeight="24" customHeight="1" x14ac:dyDescent="0.35"/>
  <cols>
    <col min="1" max="1" width="13.28515625" bestFit="1" customWidth="1"/>
    <col min="2" max="2" width="8.42578125" customWidth="1"/>
    <col min="3" max="3" width="21.85546875" customWidth="1"/>
    <col min="4" max="5" width="20.7109375" customWidth="1"/>
    <col min="6" max="7" width="20.7109375" hidden="1" customWidth="1"/>
    <col min="8" max="8" width="20.7109375" customWidth="1"/>
  </cols>
  <sheetData>
    <row r="1" spans="1:23" ht="24" customHeight="1" x14ac:dyDescent="0.45">
      <c r="A1" s="24" t="s">
        <v>54</v>
      </c>
      <c r="B1" s="25"/>
      <c r="C1" s="25"/>
      <c r="D1" s="26"/>
    </row>
    <row r="2" spans="1:23" ht="24" customHeight="1" x14ac:dyDescent="0.35">
      <c r="A2" s="17" t="s">
        <v>0</v>
      </c>
      <c r="B2" s="18" t="s">
        <v>1</v>
      </c>
      <c r="C2" s="19" t="s">
        <v>2</v>
      </c>
      <c r="D2" s="19" t="s">
        <v>3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30" customHeight="1" x14ac:dyDescent="0.35">
      <c r="A3" s="18">
        <v>1</v>
      </c>
      <c r="B3" s="18"/>
      <c r="C3" s="21"/>
      <c r="D3" s="19"/>
      <c r="K3" s="16"/>
    </row>
    <row r="4" spans="1:23" ht="30" customHeight="1" x14ac:dyDescent="0.35">
      <c r="A4" s="18">
        <v>2</v>
      </c>
      <c r="B4" s="17"/>
      <c r="C4" s="18"/>
      <c r="D4" s="19"/>
    </row>
    <row r="5" spans="1:23" ht="30" customHeight="1" x14ac:dyDescent="0.35">
      <c r="A5" s="18">
        <v>3</v>
      </c>
      <c r="B5" s="17"/>
      <c r="C5" s="18"/>
      <c r="D5" s="19"/>
    </row>
    <row r="6" spans="1:23" ht="30" customHeight="1" x14ac:dyDescent="0.35">
      <c r="A6" s="18">
        <v>4</v>
      </c>
      <c r="B6" s="17"/>
      <c r="C6" s="18"/>
      <c r="D6" s="19"/>
    </row>
    <row r="7" spans="1:23" ht="30" customHeight="1" x14ac:dyDescent="0.35">
      <c r="A7" s="18">
        <v>5</v>
      </c>
      <c r="B7" s="17"/>
      <c r="C7" s="18"/>
      <c r="D7" s="19"/>
    </row>
    <row r="8" spans="1:23" ht="30" customHeight="1" x14ac:dyDescent="0.35">
      <c r="A8" s="18">
        <v>6</v>
      </c>
      <c r="B8" s="17"/>
      <c r="C8" s="18"/>
      <c r="D8" s="19"/>
    </row>
    <row r="9" spans="1:23" ht="30" customHeight="1" x14ac:dyDescent="0.35">
      <c r="A9" s="18">
        <v>7</v>
      </c>
      <c r="B9" s="17"/>
      <c r="C9" s="18"/>
      <c r="D9" s="19"/>
    </row>
    <row r="10" spans="1:23" ht="30" customHeight="1" x14ac:dyDescent="0.35">
      <c r="A10" s="18">
        <v>8</v>
      </c>
      <c r="B10" s="17"/>
      <c r="C10" s="18"/>
      <c r="D10" s="19"/>
    </row>
    <row r="11" spans="1:23" ht="30" customHeight="1" x14ac:dyDescent="0.35">
      <c r="A11" s="18">
        <v>9</v>
      </c>
      <c r="B11" s="17"/>
      <c r="C11" s="18"/>
      <c r="D11" s="19"/>
    </row>
    <row r="12" spans="1:23" ht="30" customHeight="1" x14ac:dyDescent="0.35">
      <c r="A12" s="18">
        <v>10</v>
      </c>
      <c r="B12" s="17"/>
      <c r="C12" s="18"/>
      <c r="D12" s="19"/>
    </row>
    <row r="13" spans="1:23" ht="30" customHeight="1" x14ac:dyDescent="0.35">
      <c r="A13" s="18">
        <v>11</v>
      </c>
      <c r="B13" s="17"/>
      <c r="C13" s="18"/>
      <c r="D13" s="19"/>
    </row>
    <row r="14" spans="1:23" ht="30" customHeight="1" x14ac:dyDescent="0.35">
      <c r="A14" s="18">
        <v>12</v>
      </c>
      <c r="B14" s="17"/>
      <c r="C14" s="18"/>
      <c r="D14" s="19"/>
    </row>
    <row r="15" spans="1:23" ht="30" customHeight="1" x14ac:dyDescent="0.35">
      <c r="A15" s="18">
        <v>13</v>
      </c>
      <c r="B15" s="17"/>
      <c r="C15" s="18"/>
      <c r="D15" s="19"/>
    </row>
    <row r="16" spans="1:23" ht="30" customHeight="1" x14ac:dyDescent="0.35">
      <c r="A16" s="18">
        <v>14</v>
      </c>
      <c r="B16" s="17"/>
      <c r="C16" s="18"/>
      <c r="D16" s="19"/>
    </row>
    <row r="17" spans="1:4" ht="30" customHeight="1" x14ac:dyDescent="0.35">
      <c r="A17" s="18">
        <v>15</v>
      </c>
      <c r="B17" s="17"/>
      <c r="C17" s="18"/>
      <c r="D17" s="19"/>
    </row>
    <row r="18" spans="1:4" ht="30" customHeight="1" x14ac:dyDescent="0.35">
      <c r="A18" s="18">
        <v>16</v>
      </c>
      <c r="B18" s="17"/>
      <c r="C18" s="18"/>
      <c r="D18" s="19"/>
    </row>
    <row r="19" spans="1:4" ht="30" customHeight="1" x14ac:dyDescent="0.35">
      <c r="A19" s="18">
        <v>17</v>
      </c>
      <c r="B19" s="17"/>
      <c r="C19" s="18"/>
      <c r="D19" s="19"/>
    </row>
    <row r="20" spans="1:4" ht="30" customHeight="1" x14ac:dyDescent="0.35">
      <c r="A20" s="18">
        <v>18</v>
      </c>
      <c r="B20" s="17"/>
      <c r="C20" s="18"/>
      <c r="D20" s="19"/>
    </row>
    <row r="21" spans="1:4" ht="30" customHeight="1" x14ac:dyDescent="0.35">
      <c r="A21" s="18">
        <v>19</v>
      </c>
      <c r="B21" s="17"/>
      <c r="C21" s="18"/>
      <c r="D21" s="19"/>
    </row>
    <row r="22" spans="1:4" ht="30" customHeight="1" x14ac:dyDescent="0.35">
      <c r="A22" s="18">
        <v>20</v>
      </c>
      <c r="B22" s="17"/>
      <c r="C22" s="18"/>
      <c r="D22" s="19"/>
    </row>
    <row r="23" spans="1:4" ht="30" hidden="1" customHeight="1" x14ac:dyDescent="0.35">
      <c r="A23" s="20"/>
      <c r="B23" s="17"/>
      <c r="C23" s="18"/>
      <c r="D23" s="17"/>
    </row>
    <row r="24" spans="1:4" ht="30" hidden="1" customHeight="1" x14ac:dyDescent="0.35">
      <c r="A24" s="18"/>
      <c r="B24" s="17"/>
      <c r="C24" s="18"/>
      <c r="D24" s="17"/>
    </row>
    <row r="25" spans="1:4" ht="30" hidden="1" customHeight="1" x14ac:dyDescent="0.35">
      <c r="A25" s="18"/>
      <c r="B25" s="17"/>
      <c r="C25" s="18"/>
      <c r="D25" s="17"/>
    </row>
    <row r="26" spans="1:4" ht="30" customHeight="1" x14ac:dyDescent="0.35">
      <c r="A26" s="18"/>
      <c r="B26" s="17"/>
      <c r="C26" s="18"/>
      <c r="D26" s="19"/>
    </row>
    <row r="27" spans="1:4" ht="30" customHeight="1" x14ac:dyDescent="0.35">
      <c r="A27" s="15"/>
      <c r="B27" s="15"/>
      <c r="C27" s="21"/>
      <c r="D27" s="15"/>
    </row>
  </sheetData>
  <phoneticPr fontId="0" type="noConversion"/>
  <printOptions headings="1" gridLines="1" gridLinesSet="0"/>
  <pageMargins left="0" right="0" top="0" bottom="0" header="0.4921259845" footer="0.492125984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Tagesstand</vt:lpstr>
      <vt:lpstr>Spez.wert.</vt:lpstr>
      <vt:lpstr>OUT</vt:lpstr>
      <vt:lpstr>OUT!Druckbereich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Marcel Gysin</cp:lastModifiedBy>
  <cp:lastPrinted>2023-09-18T14:04:27Z</cp:lastPrinted>
  <dcterms:created xsi:type="dcterms:W3CDTF">2001-10-29T14:55:22Z</dcterms:created>
  <dcterms:modified xsi:type="dcterms:W3CDTF">2023-09-18T15:22:46Z</dcterms:modified>
</cp:coreProperties>
</file>