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13_ncr:1_{ED4CCD0B-86D2-4E8B-BC01-30F30F8D45FE}" xr6:coauthVersionLast="47" xr6:coauthVersionMax="47" xr10:uidLastSave="{00000000-0000-0000-0000-000000000000}"/>
  <bookViews>
    <workbookView xWindow="-98" yWindow="-98" windowWidth="24496" windowHeight="15675" tabRatio="500" xr2:uid="{00000000-000D-0000-FFFF-FFFF00000000}"/>
  </bookViews>
  <sheets>
    <sheet name="Tagesst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6" i="1" l="1"/>
  <c r="G39" i="1"/>
  <c r="G50" i="1" l="1"/>
  <c r="G48" i="1"/>
  <c r="G46" i="1"/>
  <c r="G41" i="1"/>
  <c r="E51" i="1"/>
  <c r="E48" i="1"/>
  <c r="E41" i="1"/>
  <c r="E40" i="1"/>
  <c r="C49" i="1"/>
  <c r="C42" i="1"/>
  <c r="A51" i="1"/>
  <c r="A50" i="1"/>
  <c r="A47" i="1"/>
  <c r="A45" i="1"/>
  <c r="A42" i="1"/>
  <c r="A41" i="1"/>
  <c r="A39" i="1"/>
  <c r="I32" i="1"/>
  <c r="I29" i="1"/>
  <c r="I22" i="1"/>
  <c r="G29" i="1"/>
  <c r="G25" i="1"/>
  <c r="G24" i="1"/>
  <c r="E31" i="1"/>
  <c r="E29" i="1"/>
  <c r="E22" i="1"/>
  <c r="C33" i="1"/>
  <c r="C35" i="1"/>
  <c r="C31" i="1"/>
  <c r="C30" i="1"/>
  <c r="C28" i="1"/>
  <c r="C27" i="1"/>
  <c r="A3" i="1"/>
  <c r="C24" i="1"/>
  <c r="C22" i="1"/>
  <c r="C21" i="1"/>
  <c r="A31" i="1"/>
  <c r="A29" i="1"/>
  <c r="A24" i="1"/>
  <c r="A23" i="1"/>
  <c r="A22" i="1"/>
  <c r="I15" i="1"/>
  <c r="I11" i="1"/>
  <c r="I10" i="1"/>
  <c r="I9" i="1"/>
  <c r="I8" i="1"/>
  <c r="I5" i="1"/>
  <c r="I4" i="1"/>
  <c r="I3" i="1"/>
  <c r="G16" i="1"/>
  <c r="G15" i="1"/>
  <c r="G13" i="1"/>
  <c r="G12" i="1"/>
  <c r="G8" i="1"/>
  <c r="G5" i="1"/>
  <c r="G4" i="1"/>
  <c r="G3" i="1"/>
  <c r="E16" i="1"/>
  <c r="E13" i="1"/>
  <c r="E7" i="1"/>
  <c r="E6" i="1"/>
  <c r="E3" i="1"/>
  <c r="C13" i="1"/>
  <c r="C12" i="1"/>
  <c r="C10" i="1"/>
  <c r="C5" i="1"/>
  <c r="C4" i="1"/>
  <c r="A16" i="1"/>
  <c r="A15" i="1"/>
  <c r="A13" i="1"/>
  <c r="A12" i="1"/>
  <c r="A9" i="1"/>
  <c r="A7" i="1"/>
  <c r="A6" i="1"/>
  <c r="G49" i="1"/>
  <c r="E46" i="1"/>
  <c r="E44" i="1"/>
  <c r="C51" i="1"/>
  <c r="C41" i="1"/>
  <c r="A46" i="1"/>
  <c r="A44" i="1"/>
  <c r="I25" i="1"/>
  <c r="I24" i="1"/>
  <c r="G31" i="1"/>
  <c r="E21" i="1"/>
  <c r="C25" i="1"/>
  <c r="G10" i="1"/>
  <c r="E9" i="1"/>
  <c r="C47" i="1"/>
  <c r="C40" i="1"/>
  <c r="G40" i="1"/>
  <c r="E42" i="1"/>
  <c r="C48" i="1"/>
  <c r="C39" i="1"/>
  <c r="A49" i="1"/>
  <c r="I23" i="1"/>
  <c r="G43" i="1"/>
  <c r="E49" i="1"/>
  <c r="C44" i="1"/>
  <c r="A40" i="1"/>
  <c r="E33" i="1"/>
  <c r="I26" i="1"/>
  <c r="A8" i="1"/>
  <c r="G51" i="1"/>
  <c r="G42" i="1"/>
  <c r="E50" i="1"/>
  <c r="G30" i="1"/>
  <c r="G23" i="1"/>
  <c r="G9" i="1"/>
  <c r="C7" i="1"/>
  <c r="G27" i="1"/>
  <c r="I31" i="1"/>
  <c r="I21" i="1"/>
  <c r="A30" i="1"/>
  <c r="C3" i="1"/>
  <c r="I28" i="1"/>
  <c r="C15" i="1"/>
  <c r="A33" i="1"/>
  <c r="G45" i="1"/>
  <c r="E47" i="1"/>
  <c r="I33" i="1"/>
  <c r="A32" i="1"/>
  <c r="I16" i="1"/>
  <c r="E10" i="1"/>
  <c r="E43" i="1"/>
  <c r="C46" i="1"/>
  <c r="E24" i="1"/>
  <c r="A25" i="1"/>
  <c r="I6" i="1"/>
  <c r="I30" i="1"/>
  <c r="C32" i="1"/>
  <c r="A27" i="1"/>
  <c r="E11" i="1"/>
  <c r="C16" i="1"/>
  <c r="G22" i="1"/>
  <c r="E23" i="1"/>
  <c r="C26" i="1"/>
  <c r="C11" i="1"/>
  <c r="C8" i="1"/>
  <c r="A5" i="1"/>
  <c r="E28" i="1"/>
  <c r="A10" i="1"/>
  <c r="E32" i="1"/>
  <c r="E25" i="1"/>
  <c r="E30" i="1"/>
  <c r="C29" i="1"/>
  <c r="C6" i="1"/>
  <c r="A48" i="1"/>
  <c r="G33" i="1"/>
  <c r="G47" i="1"/>
  <c r="E26" i="1"/>
  <c r="C23" i="1"/>
  <c r="A28" i="1"/>
  <c r="G6" i="1"/>
  <c r="E15" i="1"/>
  <c r="E8" i="1"/>
  <c r="E5" i="1"/>
  <c r="E45" i="1"/>
  <c r="C43" i="1"/>
  <c r="A21" i="1"/>
  <c r="G32" i="1"/>
  <c r="G44" i="1"/>
  <c r="C50" i="1"/>
  <c r="G26" i="1"/>
  <c r="G11" i="1"/>
  <c r="E12" i="1"/>
  <c r="C9" i="1"/>
  <c r="A11" i="1"/>
  <c r="A4" i="1"/>
  <c r="I27" i="1"/>
  <c r="A43" i="1"/>
  <c r="E27" i="1"/>
  <c r="G7" i="1"/>
  <c r="E39" i="1"/>
  <c r="E4" i="1"/>
  <c r="G28" i="1"/>
  <c r="I13" i="1"/>
  <c r="A54" i="1" l="1"/>
  <c r="E35" i="1"/>
  <c r="G54" i="1"/>
  <c r="C54" i="1"/>
  <c r="C17" i="1"/>
  <c r="I17" i="1"/>
  <c r="I35" i="1"/>
  <c r="A17" i="1"/>
  <c r="G35" i="1"/>
  <c r="A35" i="1"/>
  <c r="E17" i="1"/>
  <c r="G17" i="1"/>
  <c r="E54" i="1"/>
  <c r="A56" i="1" l="1"/>
  <c r="A58" i="1" l="1"/>
  <c r="E36" i="1" s="1"/>
  <c r="A36" i="1"/>
  <c r="E55" i="1" l="1"/>
  <c r="G55" i="1"/>
  <c r="G36" i="1"/>
  <c r="I36" i="1"/>
  <c r="G18" i="1"/>
  <c r="C18" i="1"/>
  <c r="A18" i="1"/>
  <c r="I18" i="1"/>
  <c r="C55" i="1"/>
  <c r="E18" i="1"/>
  <c r="C36" i="1"/>
  <c r="A55" i="1"/>
</calcChain>
</file>

<file path=xl/sharedStrings.xml><?xml version="1.0" encoding="utf-8"?>
<sst xmlns="http://schemas.openxmlformats.org/spreadsheetml/2006/main" count="200" uniqueCount="198">
  <si>
    <t>FE</t>
  </si>
  <si>
    <t>ZÜGE</t>
  </si>
  <si>
    <t>FRANCO</t>
  </si>
  <si>
    <t>ROGLIC</t>
  </si>
  <si>
    <t>KUSS</t>
  </si>
  <si>
    <t>NIV</t>
  </si>
  <si>
    <t>BASTRO</t>
  </si>
  <si>
    <t>BERGGEISSE</t>
  </si>
  <si>
    <t>LULU</t>
  </si>
  <si>
    <t>HOLLYWOOD</t>
  </si>
  <si>
    <t>BAROS</t>
  </si>
  <si>
    <t>WSD</t>
  </si>
  <si>
    <t>ASTHMATIKER</t>
  </si>
  <si>
    <t>VERONA</t>
  </si>
  <si>
    <t>,</t>
  </si>
  <si>
    <t xml:space="preserve"> = AUSGESCHIEDEN</t>
  </si>
  <si>
    <t>MAXIM</t>
  </si>
  <si>
    <t>LUCALUCA</t>
  </si>
  <si>
    <t>MEINTJES</t>
  </si>
  <si>
    <t>VAN BAARLE</t>
  </si>
  <si>
    <t>B</t>
  </si>
  <si>
    <t>Grilli</t>
  </si>
  <si>
    <t>O'CONNOR</t>
  </si>
  <si>
    <t>FROOME</t>
  </si>
  <si>
    <t>SOLER</t>
  </si>
  <si>
    <t>VAN P0PPEL Danny</t>
  </si>
  <si>
    <t>URAN</t>
  </si>
  <si>
    <t>KIRSCH</t>
  </si>
  <si>
    <t>DURBRIDGE</t>
  </si>
  <si>
    <t>JUNGELS</t>
  </si>
  <si>
    <t>WOODS</t>
  </si>
  <si>
    <t>MCNULTY</t>
  </si>
  <si>
    <t>OLIVEIRA Nelson</t>
  </si>
  <si>
    <t>OLIVEIRA Ivo</t>
  </si>
  <si>
    <t>HAMILTON Lucas</t>
  </si>
  <si>
    <t>SANCHEZ</t>
  </si>
  <si>
    <t>ALPE D'HUEZ</t>
  </si>
  <si>
    <t>DEGENKOLB</t>
  </si>
  <si>
    <t>YATES</t>
  </si>
  <si>
    <t>WRIGHT</t>
  </si>
  <si>
    <t>PINOT</t>
  </si>
  <si>
    <t>PEDERSEN Mads</t>
  </si>
  <si>
    <t>TEUNISSEN</t>
  </si>
  <si>
    <t>LOPEZ Miguel Angel</t>
  </si>
  <si>
    <t>AFFINI</t>
  </si>
  <si>
    <t>HERRADA Jesus</t>
  </si>
  <si>
    <t>HERRADA Jose</t>
  </si>
  <si>
    <t>DENNIS</t>
  </si>
  <si>
    <t>GESINK</t>
  </si>
  <si>
    <t>HARPER</t>
  </si>
  <si>
    <t>OOMEN</t>
  </si>
  <si>
    <t>CHAMPOUSSIN</t>
  </si>
  <si>
    <t>HÄNNINEN</t>
  </si>
  <si>
    <t>PETERS</t>
  </si>
  <si>
    <t>PRODHOMME</t>
  </si>
  <si>
    <t>RAUGEL</t>
  </si>
  <si>
    <t>VENDRAME</t>
  </si>
  <si>
    <t>BATISTELLA</t>
  </si>
  <si>
    <t>LUTSENKO</t>
  </si>
  <si>
    <t>DE LA CRUZ</t>
  </si>
  <si>
    <t>NIBALI Vincenzo</t>
  </si>
  <si>
    <t>FEDOROV</t>
  </si>
  <si>
    <t>MÄDER</t>
  </si>
  <si>
    <t>PRONSKIY</t>
  </si>
  <si>
    <t>POELS</t>
  </si>
  <si>
    <t>TEJADA</t>
  </si>
  <si>
    <t>BENNET Sam</t>
  </si>
  <si>
    <t>BUITRAGO</t>
  </si>
  <si>
    <t>SÜTTERLIN</t>
  </si>
  <si>
    <t>FABBRO</t>
  </si>
  <si>
    <t>KELDERMAN</t>
  </si>
  <si>
    <t>HIGUITA</t>
  </si>
  <si>
    <t>HINDLEY</t>
  </si>
  <si>
    <t>KOCH</t>
  </si>
  <si>
    <t>COQUARD</t>
  </si>
  <si>
    <t>CIMOLAI</t>
  </si>
  <si>
    <t>CHAMPION</t>
  </si>
  <si>
    <t>FERNANDEZ  Ruben</t>
  </si>
  <si>
    <t>VILLELA</t>
  </si>
  <si>
    <t>CAICEDO</t>
  </si>
  <si>
    <t>CARTHY</t>
  </si>
  <si>
    <t>KUDUS</t>
  </si>
  <si>
    <t>CHAVES</t>
  </si>
  <si>
    <t>PADUN</t>
  </si>
  <si>
    <t>SHAW</t>
  </si>
  <si>
    <t>REICHENBACH</t>
  </si>
  <si>
    <t>MOLARD</t>
  </si>
  <si>
    <t>VAN DEN BERG</t>
  </si>
  <si>
    <t>ARMIRAIL</t>
  </si>
  <si>
    <t>LIENHARD</t>
  </si>
  <si>
    <t>PACHER</t>
  </si>
  <si>
    <t>SCOTSON</t>
  </si>
  <si>
    <t>STEWART</t>
  </si>
  <si>
    <t>CARAPAZ</t>
  </si>
  <si>
    <t>MULLEN</t>
  </si>
  <si>
    <t>GEOGHEGAN</t>
  </si>
  <si>
    <t>HAYTER</t>
  </si>
  <si>
    <t>SIVAKOV</t>
  </si>
  <si>
    <t>PLAPP</t>
  </si>
  <si>
    <t>RODRIGUEZ Carlos</t>
  </si>
  <si>
    <t>HIRT</t>
  </si>
  <si>
    <t>TURNER</t>
  </si>
  <si>
    <t>BAKELANTS</t>
  </si>
  <si>
    <t>JOHANSEN</t>
  </si>
  <si>
    <t>VAN POPPEL Boy</t>
  </si>
  <si>
    <t>POZZOVIVO</t>
  </si>
  <si>
    <t>TAARAMÄE</t>
  </si>
  <si>
    <t>THIJSSEN</t>
  </si>
  <si>
    <t>BEVIN</t>
  </si>
  <si>
    <t>DE MARCHI</t>
  </si>
  <si>
    <t>EINHORN</t>
  </si>
  <si>
    <t>IMPEY</t>
  </si>
  <si>
    <t>DE GENDT</t>
  </si>
  <si>
    <t>GOLDSTEIN</t>
  </si>
  <si>
    <t>HAGEN</t>
  </si>
  <si>
    <t>BEULLENS</t>
  </si>
  <si>
    <t>CONCA</t>
  </si>
  <si>
    <t>CRAS</t>
  </si>
  <si>
    <t>DRIZNERS</t>
  </si>
  <si>
    <t>MALECKI</t>
  </si>
  <si>
    <t>SWEENY</t>
  </si>
  <si>
    <t>VAN GILS</t>
  </si>
  <si>
    <t>MAS Enric</t>
  </si>
  <si>
    <t>MAS Lluis</t>
  </si>
  <si>
    <t>ROCHAS Jose Joaquim</t>
  </si>
  <si>
    <t>ROCHAS Remy</t>
  </si>
  <si>
    <t>VALVERDE</t>
  </si>
  <si>
    <t>NORSGAARD</t>
  </si>
  <si>
    <t>MÜHLBERGER</t>
  </si>
  <si>
    <t>CAVAGNA</t>
  </si>
  <si>
    <t>ALAPHILIPPE</t>
  </si>
  <si>
    <t>MASNADA</t>
  </si>
  <si>
    <t>DEVENYNS</t>
  </si>
  <si>
    <t>SERRY</t>
  </si>
  <si>
    <t>VAN WILDER</t>
  </si>
  <si>
    <t>VERVAEKE</t>
  </si>
  <si>
    <t>CRADDOCK</t>
  </si>
  <si>
    <t>GROVES</t>
  </si>
  <si>
    <t>HEPBURN</t>
  </si>
  <si>
    <t>O'BRIEN</t>
  </si>
  <si>
    <t>ARNDT</t>
  </si>
  <si>
    <t>ARENSMAN</t>
  </si>
  <si>
    <t>BRENNER</t>
  </si>
  <si>
    <t>DONOVAN</t>
  </si>
  <si>
    <t>HVIDEBERG</t>
  </si>
  <si>
    <t>NIEUVENHUIS</t>
  </si>
  <si>
    <t>VANDENABEELE</t>
  </si>
  <si>
    <t>BERNARD</t>
  </si>
  <si>
    <t>CATALDO</t>
  </si>
  <si>
    <t>ELISSONDE</t>
  </si>
  <si>
    <t>LOPEZ Juan Pedro</t>
  </si>
  <si>
    <t>ACKERMANN</t>
  </si>
  <si>
    <t>HOOLE</t>
  </si>
  <si>
    <t>TIBERI</t>
  </si>
  <si>
    <t>AYUSO</t>
  </si>
  <si>
    <t>POLANC</t>
  </si>
  <si>
    <t>MOLANO</t>
  </si>
  <si>
    <t>MERLIER</t>
  </si>
  <si>
    <t>DE TIER</t>
  </si>
  <si>
    <t>JANSSENS</t>
  </si>
  <si>
    <t>MEURISSE</t>
  </si>
  <si>
    <t>STANNARD</t>
  </si>
  <si>
    <t>TAMINIAUX</t>
  </si>
  <si>
    <t>VINE</t>
  </si>
  <si>
    <t>VERMEERSCH</t>
  </si>
  <si>
    <t>BOL</t>
  </si>
  <si>
    <t>DIAZ</t>
  </si>
  <si>
    <t>CABEDO</t>
  </si>
  <si>
    <t>EZQUERRA</t>
  </si>
  <si>
    <t>LANGELLOTI</t>
  </si>
  <si>
    <t>NAVARRO</t>
  </si>
  <si>
    <t>OKAMIKA</t>
  </si>
  <si>
    <t>ADRIA</t>
  </si>
  <si>
    <t>CARRETERO</t>
  </si>
  <si>
    <t>GALVAN</t>
  </si>
  <si>
    <t>GARCIA PIERNA</t>
  </si>
  <si>
    <t>PARRA</t>
  </si>
  <si>
    <t>MIQUEL</t>
  </si>
  <si>
    <t>BIZKARRA</t>
  </si>
  <si>
    <t>REPA</t>
  </si>
  <si>
    <t>AZPARREN</t>
  </si>
  <si>
    <t>MARTIN</t>
  </si>
  <si>
    <t>AZURMENDI</t>
  </si>
  <si>
    <t>BOU</t>
  </si>
  <si>
    <t>CANAL</t>
  </si>
  <si>
    <t>MATE</t>
  </si>
  <si>
    <t>GESBERT</t>
  </si>
  <si>
    <t>DELAPLACE</t>
  </si>
  <si>
    <t>GUARNALEC</t>
  </si>
  <si>
    <t>GUGLIELMI</t>
  </si>
  <si>
    <t>MCLAY</t>
  </si>
  <si>
    <t>OWSIAN</t>
  </si>
  <si>
    <t>RUSSO</t>
  </si>
  <si>
    <t>EVENEPOEL</t>
  </si>
  <si>
    <t>LANDA</t>
  </si>
  <si>
    <t>ZAMBANINI</t>
  </si>
  <si>
    <t>BERRADE</t>
  </si>
  <si>
    <t>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</si>
</sst>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charset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rgb="FF00B05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0000"/>
        <bgColor rgb="FF99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8A8A8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3" fontId="1" fillId="0" borderId="1" xfId="0" applyNumberFormat="1" applyFont="1" applyBorder="1"/>
    <xf numFmtId="3" fontId="1" fillId="0" borderId="1" xfId="0" applyNumberFormat="1" applyFont="1" applyBorder="1"/>
    <xf numFmtId="3" fontId="0" fillId="0" borderId="0" xfId="0" applyNumberFormat="1"/>
    <xf numFmtId="3" fontId="4" fillId="0" borderId="1" xfId="0" applyNumberFormat="1" applyFont="1" applyBorder="1"/>
    <xf numFmtId="3" fontId="1" fillId="0" borderId="3" xfId="0" applyNumberFormat="1" applyFont="1" applyBorder="1"/>
    <xf numFmtId="0" fontId="1" fillId="0" borderId="1" xfId="0" applyFont="1" applyBorder="1"/>
    <xf numFmtId="3" fontId="1" fillId="2" borderId="3" xfId="0" applyNumberFormat="1" applyFont="1" applyFill="1" applyBorder="1"/>
    <xf numFmtId="3" fontId="8" fillId="0" borderId="1" xfId="0" applyNumberFormat="1" applyFont="1" applyBorder="1"/>
    <xf numFmtId="3" fontId="0" fillId="0" borderId="1" xfId="0" applyNumberFormat="1" applyBorder="1"/>
    <xf numFmtId="3" fontId="6" fillId="0" borderId="1" xfId="0" applyNumberFormat="1" applyFont="1" applyBorder="1"/>
    <xf numFmtId="3" fontId="0" fillId="0" borderId="1" xfId="0" applyNumberFormat="1" applyFont="1" applyBorder="1"/>
    <xf numFmtId="3" fontId="1" fillId="0" borderId="0" xfId="0" applyNumberFormat="1" applyFont="1"/>
    <xf numFmtId="3" fontId="5" fillId="0" borderId="0" xfId="0" applyNumberFormat="1" applyFont="1"/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/>
    <xf numFmtId="3" fontId="1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0" fontId="1" fillId="0" borderId="1" xfId="0" applyFont="1" applyFill="1" applyBorder="1"/>
    <xf numFmtId="3" fontId="9" fillId="0" borderId="1" xfId="0" applyNumberFormat="1" applyFont="1" applyFill="1" applyBorder="1"/>
    <xf numFmtId="3" fontId="1" fillId="4" borderId="1" xfId="0" applyNumberFormat="1" applyFont="1" applyFill="1" applyBorder="1" applyAlignment="1">
      <alignment horizontal="left"/>
    </xf>
    <xf numFmtId="3" fontId="1" fillId="4" borderId="2" xfId="0" applyNumberFormat="1" applyFont="1" applyFill="1" applyBorder="1"/>
    <xf numFmtId="3" fontId="1" fillId="4" borderId="1" xfId="0" applyNumberFormat="1" applyFont="1" applyFill="1" applyBorder="1"/>
    <xf numFmtId="3" fontId="1" fillId="4" borderId="0" xfId="0" applyNumberFormat="1" applyFont="1" applyFill="1"/>
    <xf numFmtId="3" fontId="5" fillId="4" borderId="1" xfId="0" applyNumberFormat="1" applyFont="1" applyFill="1" applyBorder="1" applyAlignment="1">
      <alignment horizontal="left"/>
    </xf>
    <xf numFmtId="3" fontId="4" fillId="4" borderId="1" xfId="0" applyNumberFormat="1" applyFont="1" applyFill="1" applyBorder="1"/>
    <xf numFmtId="3" fontId="2" fillId="4" borderId="1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/>
    <xf numFmtId="3" fontId="1" fillId="4" borderId="3" xfId="0" applyNumberFormat="1" applyFont="1" applyFill="1" applyBorder="1"/>
    <xf numFmtId="3" fontId="1" fillId="5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10" fillId="6" borderId="1" xfId="0" applyNumberFormat="1" applyFont="1" applyFill="1" applyBorder="1"/>
    <xf numFmtId="3" fontId="3" fillId="0" borderId="2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0" fillId="6" borderId="1" xfId="0" applyNumberFormat="1" applyFont="1" applyFill="1" applyBorder="1" applyAlignment="1">
      <alignment horizontal="left"/>
    </xf>
    <xf numFmtId="0" fontId="11" fillId="3" borderId="0" xfId="0" applyFont="1" applyFill="1"/>
    <xf numFmtId="3" fontId="12" fillId="6" borderId="1" xfId="0" applyNumberFormat="1" applyFont="1" applyFill="1" applyBorder="1"/>
    <xf numFmtId="3" fontId="12" fillId="6" borderId="1" xfId="0" applyNumberFormat="1" applyFont="1" applyFill="1" applyBorder="1" applyAlignment="1">
      <alignment horizontal="left"/>
    </xf>
    <xf numFmtId="3" fontId="13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8A8A8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workbookViewId="0">
      <selection activeCell="A27" sqref="A27"/>
    </sheetView>
  </sheetViews>
  <sheetFormatPr baseColWidth="10" defaultColWidth="9.1328125" defaultRowHeight="12.75" x14ac:dyDescent="0.35"/>
  <cols>
    <col min="1" max="1" width="7.59765625" customWidth="1"/>
    <col min="2" max="2" width="23.3984375" customWidth="1"/>
    <col min="3" max="3" width="6.73046875" customWidth="1"/>
    <col min="4" max="4" width="21.86328125" customWidth="1"/>
    <col min="5" max="5" width="6.73046875" customWidth="1"/>
    <col min="6" max="6" width="21.1328125" customWidth="1"/>
    <col min="7" max="7" width="6.73046875" customWidth="1"/>
    <col min="8" max="8" width="24.1328125" customWidth="1"/>
    <col min="9" max="9" width="6.73046875" customWidth="1"/>
    <col min="10" max="10" width="22.73046875" customWidth="1"/>
    <col min="11" max="1025" width="10.73046875" customWidth="1"/>
  </cols>
  <sheetData>
    <row r="1" spans="1:12" ht="17.100000000000001" customHeight="1" x14ac:dyDescent="0.4">
      <c r="A1" s="14">
        <v>1</v>
      </c>
      <c r="B1" s="14" t="s">
        <v>17</v>
      </c>
      <c r="C1" s="14">
        <v>2</v>
      </c>
      <c r="D1" s="14" t="s">
        <v>8</v>
      </c>
      <c r="E1" s="14">
        <v>3</v>
      </c>
      <c r="F1" s="14" t="s">
        <v>1</v>
      </c>
      <c r="G1" s="14">
        <v>4</v>
      </c>
      <c r="H1" s="14" t="s">
        <v>7</v>
      </c>
      <c r="I1" s="14">
        <v>5</v>
      </c>
      <c r="J1" s="14" t="s">
        <v>12</v>
      </c>
    </row>
    <row r="2" spans="1:12" ht="17.100000000000001" customHeight="1" x14ac:dyDescent="0.4">
      <c r="A2" s="15"/>
      <c r="B2" s="16"/>
      <c r="C2" s="17"/>
      <c r="D2" s="16"/>
      <c r="E2" s="17"/>
      <c r="F2" s="16"/>
      <c r="G2" s="17"/>
      <c r="H2" s="16"/>
      <c r="I2" s="17"/>
      <c r="J2" s="16"/>
    </row>
    <row r="3" spans="1:12" ht="17.100000000000001" customHeight="1" x14ac:dyDescent="0.4">
      <c r="A3" s="15">
        <f>100+60+55+16+50+50+60</f>
        <v>391</v>
      </c>
      <c r="B3" s="27" t="s">
        <v>24</v>
      </c>
      <c r="C3" s="28">
        <f>100+45+35+20+60+8+25+55+45</f>
        <v>393</v>
      </c>
      <c r="D3" s="46" t="s">
        <v>3</v>
      </c>
      <c r="E3" s="28">
        <f>0</f>
        <v>0</v>
      </c>
      <c r="F3" s="29" t="s">
        <v>31</v>
      </c>
      <c r="G3" s="28">
        <f>8+7+8+40</f>
        <v>63</v>
      </c>
      <c r="H3" s="29" t="s">
        <v>194</v>
      </c>
      <c r="I3" s="28">
        <f>55+55+40+30+20+9+40+60+7+10+60+45+700</f>
        <v>1131</v>
      </c>
      <c r="J3" s="29" t="s">
        <v>122</v>
      </c>
      <c r="L3" s="3"/>
    </row>
    <row r="4" spans="1:12" ht="17.100000000000001" customHeight="1" x14ac:dyDescent="0.4">
      <c r="A4" s="15">
        <f>7</f>
        <v>7</v>
      </c>
      <c r="B4" s="27" t="s">
        <v>34</v>
      </c>
      <c r="C4" s="28">
        <f>55+55+16+30+50+50+60+35+150</f>
        <v>501</v>
      </c>
      <c r="D4" s="27" t="s">
        <v>39</v>
      </c>
      <c r="E4" s="28">
        <f>5</f>
        <v>5</v>
      </c>
      <c r="F4" s="39" t="s">
        <v>44</v>
      </c>
      <c r="G4" s="28">
        <f>100+17+25+15+35+85</f>
        <v>277</v>
      </c>
      <c r="H4" s="29" t="s">
        <v>18</v>
      </c>
      <c r="I4" s="28">
        <f>50+7+40+9+50</f>
        <v>156</v>
      </c>
      <c r="J4" s="29" t="s">
        <v>40</v>
      </c>
    </row>
    <row r="5" spans="1:12" ht="17.100000000000001" customHeight="1" x14ac:dyDescent="0.4">
      <c r="A5" s="15">
        <f>16+6+20+30+17+35</f>
        <v>124</v>
      </c>
      <c r="B5" s="43" t="s">
        <v>38</v>
      </c>
      <c r="C5" s="28">
        <f>5+6+6+40+35</f>
        <v>92</v>
      </c>
      <c r="D5" s="29" t="s">
        <v>51</v>
      </c>
      <c r="E5" s="28">
        <f>0</f>
        <v>0</v>
      </c>
      <c r="F5" s="39" t="s">
        <v>52</v>
      </c>
      <c r="G5" s="28">
        <f>0</f>
        <v>0</v>
      </c>
      <c r="H5" s="29" t="s">
        <v>53</v>
      </c>
      <c r="I5" s="28">
        <f>0</f>
        <v>0</v>
      </c>
      <c r="J5" s="29" t="s">
        <v>54</v>
      </c>
    </row>
    <row r="6" spans="1:12" ht="17.100000000000001" customHeight="1" x14ac:dyDescent="0.4">
      <c r="A6" s="15">
        <f>30+15+25</f>
        <v>70</v>
      </c>
      <c r="B6" s="27" t="s">
        <v>63</v>
      </c>
      <c r="C6" s="28">
        <f>0</f>
        <v>0</v>
      </c>
      <c r="D6" s="39" t="s">
        <v>64</v>
      </c>
      <c r="E6" s="28">
        <f>7+5</f>
        <v>12</v>
      </c>
      <c r="F6" s="29" t="s">
        <v>65</v>
      </c>
      <c r="G6" s="28">
        <f>200+40</f>
        <v>240</v>
      </c>
      <c r="H6" s="39" t="s">
        <v>66</v>
      </c>
      <c r="I6" s="28">
        <f>0</f>
        <v>0</v>
      </c>
      <c r="J6" s="45" t="s">
        <v>67</v>
      </c>
    </row>
    <row r="7" spans="1:12" ht="17.100000000000001" customHeight="1" x14ac:dyDescent="0.4">
      <c r="A7" s="15">
        <f>8+30</f>
        <v>38</v>
      </c>
      <c r="B7" s="27" t="s">
        <v>75</v>
      </c>
      <c r="C7" s="28">
        <f>5</f>
        <v>5</v>
      </c>
      <c r="D7" s="29" t="s">
        <v>76</v>
      </c>
      <c r="E7" s="28">
        <f>30</f>
        <v>30</v>
      </c>
      <c r="F7" s="29" t="s">
        <v>77</v>
      </c>
      <c r="G7" s="28">
        <f>6+6</f>
        <v>12</v>
      </c>
      <c r="H7" s="39" t="s">
        <v>125</v>
      </c>
      <c r="I7" s="28">
        <v>10</v>
      </c>
      <c r="J7" s="29" t="s">
        <v>78</v>
      </c>
    </row>
    <row r="8" spans="1:12" ht="17.100000000000001" customHeight="1" x14ac:dyDescent="0.4">
      <c r="A8" s="15">
        <f>5</f>
        <v>5</v>
      </c>
      <c r="B8" s="30" t="s">
        <v>98</v>
      </c>
      <c r="C8" s="28">
        <f>45+40+45</f>
        <v>130</v>
      </c>
      <c r="D8" s="39" t="s">
        <v>97</v>
      </c>
      <c r="E8" s="28">
        <f>16+35+17</f>
        <v>68</v>
      </c>
      <c r="F8" s="39" t="s">
        <v>96</v>
      </c>
      <c r="G8" s="28">
        <f>18+35+18+30+16+20</f>
        <v>137</v>
      </c>
      <c r="H8" s="29" t="s">
        <v>95</v>
      </c>
      <c r="I8" s="28">
        <f>0</f>
        <v>0</v>
      </c>
      <c r="J8" s="29" t="s">
        <v>94</v>
      </c>
    </row>
    <row r="9" spans="1:12" ht="17.100000000000001" customHeight="1" x14ac:dyDescent="0.4">
      <c r="A9" s="15">
        <f>9+25+25+25+50+45+15+16+6+8+15+7+145</f>
        <v>391</v>
      </c>
      <c r="B9" s="27" t="s">
        <v>99</v>
      </c>
      <c r="C9" s="28">
        <f>5</f>
        <v>5</v>
      </c>
      <c r="D9" s="39" t="s">
        <v>100</v>
      </c>
      <c r="E9" s="28">
        <f>5+15+50+25</f>
        <v>95</v>
      </c>
      <c r="F9" s="29" t="s">
        <v>101</v>
      </c>
      <c r="G9" s="28">
        <f>16+18+8+15</f>
        <v>57</v>
      </c>
      <c r="H9" s="29" t="s">
        <v>102</v>
      </c>
      <c r="I9" s="28">
        <f>0</f>
        <v>0</v>
      </c>
      <c r="J9" s="29" t="s">
        <v>103</v>
      </c>
    </row>
    <row r="10" spans="1:12" ht="17.100000000000001" customHeight="1" x14ac:dyDescent="0.4">
      <c r="A10" s="15">
        <f>0</f>
        <v>0</v>
      </c>
      <c r="B10" s="43" t="s">
        <v>127</v>
      </c>
      <c r="C10" s="28">
        <f>7+15+10+7+17+50</f>
        <v>106</v>
      </c>
      <c r="D10" s="29" t="s">
        <v>126</v>
      </c>
      <c r="E10" s="28">
        <f>5+30</f>
        <v>35</v>
      </c>
      <c r="F10" s="39" t="s">
        <v>121</v>
      </c>
      <c r="G10" s="28">
        <f>15+10</f>
        <v>25</v>
      </c>
      <c r="H10" s="29" t="s">
        <v>124</v>
      </c>
      <c r="I10" s="28">
        <f>0</f>
        <v>0</v>
      </c>
      <c r="J10" s="29" t="s">
        <v>123</v>
      </c>
    </row>
    <row r="11" spans="1:12" ht="17.100000000000001" customHeight="1" x14ac:dyDescent="0.4">
      <c r="A11" s="15">
        <f>25</f>
        <v>25</v>
      </c>
      <c r="B11" s="27" t="s">
        <v>128</v>
      </c>
      <c r="C11" s="28">
        <f>55</f>
        <v>55</v>
      </c>
      <c r="D11" s="29" t="s">
        <v>129</v>
      </c>
      <c r="E11" s="28">
        <f>0</f>
        <v>0</v>
      </c>
      <c r="F11" s="39" t="s">
        <v>130</v>
      </c>
      <c r="G11" s="28">
        <f>18</f>
        <v>18</v>
      </c>
      <c r="H11" s="29" t="s">
        <v>131</v>
      </c>
      <c r="I11" s="28">
        <f>0</f>
        <v>0</v>
      </c>
      <c r="J11" s="29" t="s">
        <v>132</v>
      </c>
    </row>
    <row r="12" spans="1:12" ht="17.100000000000001" customHeight="1" x14ac:dyDescent="0.4">
      <c r="A12" s="15">
        <f>50+16+40+8+7+25+35+10+9+30+55+570</f>
        <v>855</v>
      </c>
      <c r="B12" s="27" t="s">
        <v>154</v>
      </c>
      <c r="C12" s="28">
        <f>0</f>
        <v>0</v>
      </c>
      <c r="D12" s="29" t="s">
        <v>153</v>
      </c>
      <c r="E12" s="28">
        <f>0</f>
        <v>0</v>
      </c>
      <c r="F12" s="39" t="s">
        <v>152</v>
      </c>
      <c r="G12" s="28">
        <f>45+25+10+55+60+55+45</f>
        <v>295</v>
      </c>
      <c r="H12" s="29" t="s">
        <v>151</v>
      </c>
      <c r="I12" s="28">
        <v>45</v>
      </c>
      <c r="J12" s="29" t="s">
        <v>149</v>
      </c>
    </row>
    <row r="13" spans="1:12" ht="17.100000000000001" customHeight="1" x14ac:dyDescent="0.4">
      <c r="A13" s="15">
        <f>18+17+7+10+50+18+16+20+25+250</f>
        <v>431</v>
      </c>
      <c r="B13" s="27" t="s">
        <v>197</v>
      </c>
      <c r="C13" s="28">
        <f>7+50+6+16+6+55</f>
        <v>140</v>
      </c>
      <c r="D13" s="29" t="s">
        <v>155</v>
      </c>
      <c r="E13" s="28">
        <f>50+100+30</f>
        <v>180</v>
      </c>
      <c r="F13" s="29" t="s">
        <v>156</v>
      </c>
      <c r="G13" s="28">
        <f>40</f>
        <v>40</v>
      </c>
      <c r="H13" s="29" t="s">
        <v>157</v>
      </c>
      <c r="I13" s="28">
        <f>5</f>
        <v>5</v>
      </c>
      <c r="J13" s="39" t="s">
        <v>158</v>
      </c>
    </row>
    <row r="14" spans="1:12" ht="17.100000000000001" hidden="1" customHeight="1" x14ac:dyDescent="0.4">
      <c r="A14" s="15"/>
      <c r="B14" s="27"/>
      <c r="C14" s="28"/>
      <c r="D14" s="29"/>
      <c r="E14" s="28"/>
      <c r="F14" s="29"/>
      <c r="G14" s="28"/>
      <c r="H14" s="29"/>
      <c r="I14" s="28"/>
      <c r="J14" s="29" t="s">
        <v>5</v>
      </c>
    </row>
    <row r="15" spans="1:12" ht="17.100000000000001" customHeight="1" x14ac:dyDescent="0.4">
      <c r="A15" s="26">
        <f>0</f>
        <v>0</v>
      </c>
      <c r="B15" s="27" t="s">
        <v>179</v>
      </c>
      <c r="C15" s="28">
        <f>5+5</f>
        <v>10</v>
      </c>
      <c r="D15" s="29" t="s">
        <v>178</v>
      </c>
      <c r="E15" s="28">
        <f>8</f>
        <v>8</v>
      </c>
      <c r="F15" s="39" t="s">
        <v>177</v>
      </c>
      <c r="G15" s="28">
        <f>40</f>
        <v>40</v>
      </c>
      <c r="H15" s="29" t="s">
        <v>176</v>
      </c>
      <c r="I15" s="28">
        <f>30+15</f>
        <v>45</v>
      </c>
      <c r="J15" s="29" t="s">
        <v>175</v>
      </c>
    </row>
    <row r="16" spans="1:12" ht="17.100000000000001" customHeight="1" x14ac:dyDescent="0.4">
      <c r="A16" s="15">
        <f>0</f>
        <v>0</v>
      </c>
      <c r="B16" s="29" t="s">
        <v>180</v>
      </c>
      <c r="C16" s="28">
        <f>10+6+15</f>
        <v>31</v>
      </c>
      <c r="D16" s="29" t="s">
        <v>181</v>
      </c>
      <c r="E16" s="28">
        <f>0</f>
        <v>0</v>
      </c>
      <c r="F16" s="29" t="s">
        <v>182</v>
      </c>
      <c r="G16" s="28">
        <f>0</f>
        <v>0</v>
      </c>
      <c r="H16" s="29" t="s">
        <v>183</v>
      </c>
      <c r="I16" s="28">
        <f>18+8+7+7</f>
        <v>40</v>
      </c>
      <c r="J16" s="29" t="s">
        <v>184</v>
      </c>
    </row>
    <row r="17" spans="1:10" ht="17.100000000000001" customHeight="1" x14ac:dyDescent="0.35">
      <c r="A17" s="19">
        <f>SUM(A3:A16)</f>
        <v>2337</v>
      </c>
      <c r="B17" s="31"/>
      <c r="C17" s="32">
        <f>SUM(C3:C16)</f>
        <v>1468</v>
      </c>
      <c r="D17" s="31"/>
      <c r="E17" s="32">
        <f>SUM(E3:E16)</f>
        <v>433</v>
      </c>
      <c r="F17" s="31"/>
      <c r="G17" s="32">
        <f>SUM(G3:G16)</f>
        <v>1204</v>
      </c>
      <c r="H17" s="31"/>
      <c r="I17" s="32">
        <f>SUM(I3:I16)</f>
        <v>1432</v>
      </c>
      <c r="J17" s="31"/>
    </row>
    <row r="18" spans="1:10" ht="17.100000000000001" customHeight="1" x14ac:dyDescent="0.4">
      <c r="A18" s="41">
        <f>A17-A58</f>
        <v>1105</v>
      </c>
      <c r="B18" s="20"/>
      <c r="C18" s="40">
        <f>C17-A58</f>
        <v>236</v>
      </c>
      <c r="D18" s="20"/>
      <c r="E18" s="22">
        <f>E17-A58</f>
        <v>-799</v>
      </c>
      <c r="F18" s="20"/>
      <c r="G18" s="22">
        <f>G17-A58</f>
        <v>-28</v>
      </c>
      <c r="H18" s="23"/>
      <c r="I18" s="21">
        <f>I17-A58</f>
        <v>200</v>
      </c>
      <c r="J18" s="23"/>
    </row>
    <row r="19" spans="1:10" ht="17.100000000000001" customHeight="1" x14ac:dyDescent="0.4">
      <c r="A19" s="14">
        <v>6</v>
      </c>
      <c r="B19" s="14" t="s">
        <v>36</v>
      </c>
      <c r="C19" s="14">
        <v>7</v>
      </c>
      <c r="D19" s="14" t="s">
        <v>2</v>
      </c>
      <c r="E19" s="14" t="s">
        <v>20</v>
      </c>
      <c r="F19" s="14" t="s">
        <v>6</v>
      </c>
      <c r="G19" s="14">
        <v>9</v>
      </c>
      <c r="H19" s="14" t="s">
        <v>10</v>
      </c>
      <c r="I19" s="14">
        <v>10</v>
      </c>
      <c r="J19" s="14" t="s">
        <v>16</v>
      </c>
    </row>
    <row r="20" spans="1:10" ht="17.100000000000001" customHeight="1" x14ac:dyDescent="0.4">
      <c r="A20" s="15"/>
      <c r="B20" s="33"/>
      <c r="C20" s="28"/>
      <c r="D20" s="33"/>
      <c r="E20" s="28"/>
      <c r="F20" s="33"/>
      <c r="G20" s="28"/>
      <c r="H20" s="37"/>
      <c r="I20" s="28"/>
      <c r="J20" s="37"/>
    </row>
    <row r="21" spans="1:10" ht="17.100000000000001" customHeight="1" x14ac:dyDescent="0.4">
      <c r="A21" s="15">
        <f>17+6</f>
        <v>23</v>
      </c>
      <c r="B21" s="39" t="s">
        <v>4</v>
      </c>
      <c r="C21" s="28">
        <f>40+10+15+17+18+40+35+18+75</f>
        <v>268</v>
      </c>
      <c r="D21" s="29" t="s">
        <v>22</v>
      </c>
      <c r="E21" s="28">
        <f>50+5+5+45+50</f>
        <v>155</v>
      </c>
      <c r="F21" s="29" t="s">
        <v>42</v>
      </c>
      <c r="G21" s="28">
        <v>30</v>
      </c>
      <c r="H21" s="29" t="s">
        <v>29</v>
      </c>
      <c r="I21" s="28">
        <f>5+9+10</f>
        <v>24</v>
      </c>
      <c r="J21" s="29" t="s">
        <v>59</v>
      </c>
    </row>
    <row r="22" spans="1:10" ht="17.100000000000001" customHeight="1" x14ac:dyDescent="0.4">
      <c r="A22" s="15">
        <f>0</f>
        <v>0</v>
      </c>
      <c r="B22" s="29" t="s">
        <v>23</v>
      </c>
      <c r="C22" s="28">
        <f>16+20+5+60+45+55+45+50</f>
        <v>296</v>
      </c>
      <c r="D22" s="29" t="s">
        <v>25</v>
      </c>
      <c r="E22" s="28">
        <f>100+55+15</f>
        <v>170</v>
      </c>
      <c r="F22" s="29" t="s">
        <v>45</v>
      </c>
      <c r="G22" s="28">
        <f>6</f>
        <v>6</v>
      </c>
      <c r="H22" s="29" t="s">
        <v>47</v>
      </c>
      <c r="I22" s="28">
        <f>9+17+9+100+18+10+70</f>
        <v>233</v>
      </c>
      <c r="J22" s="29" t="s">
        <v>26</v>
      </c>
    </row>
    <row r="23" spans="1:10" ht="17.100000000000001" customHeight="1" x14ac:dyDescent="0.4">
      <c r="A23" s="15">
        <f>0</f>
        <v>0</v>
      </c>
      <c r="B23" s="29" t="s">
        <v>55</v>
      </c>
      <c r="C23" s="28">
        <f>0</f>
        <v>0</v>
      </c>
      <c r="D23" s="39" t="s">
        <v>56</v>
      </c>
      <c r="E23" s="28">
        <f>0</f>
        <v>0</v>
      </c>
      <c r="F23" s="39" t="s">
        <v>46</v>
      </c>
      <c r="G23" s="28">
        <f>60+60+16+40</f>
        <v>176</v>
      </c>
      <c r="H23" s="39" t="s">
        <v>57</v>
      </c>
      <c r="I23" s="28">
        <f>5+15+9</f>
        <v>29</v>
      </c>
      <c r="J23" s="29" t="s">
        <v>32</v>
      </c>
    </row>
    <row r="24" spans="1:10" ht="17.100000000000001" customHeight="1" x14ac:dyDescent="0.4">
      <c r="A24" s="2">
        <f>0</f>
        <v>0</v>
      </c>
      <c r="B24" s="29" t="s">
        <v>68</v>
      </c>
      <c r="C24" s="28">
        <f>55+16+30</f>
        <v>101</v>
      </c>
      <c r="D24" s="29" t="s">
        <v>195</v>
      </c>
      <c r="E24" s="28">
        <f>20</f>
        <v>20</v>
      </c>
      <c r="F24" s="29" t="s">
        <v>69</v>
      </c>
      <c r="G24" s="28">
        <f>25+16+60+9+20+25</f>
        <v>155</v>
      </c>
      <c r="H24" s="29" t="s">
        <v>70</v>
      </c>
      <c r="I24" s="28">
        <f>9+5+5+5</f>
        <v>24</v>
      </c>
      <c r="J24" s="29" t="s">
        <v>33</v>
      </c>
    </row>
    <row r="25" spans="1:10" ht="17.100000000000001" customHeight="1" x14ac:dyDescent="0.4">
      <c r="A25" s="2">
        <f>15</f>
        <v>15</v>
      </c>
      <c r="B25" s="29" t="s">
        <v>79</v>
      </c>
      <c r="C25" s="28">
        <f>9+6+6</f>
        <v>21</v>
      </c>
      <c r="D25" s="29" t="s">
        <v>27</v>
      </c>
      <c r="E25" s="28">
        <f>7+10+8</f>
        <v>25</v>
      </c>
      <c r="F25" s="29" t="s">
        <v>80</v>
      </c>
      <c r="G25" s="28">
        <f>0</f>
        <v>0</v>
      </c>
      <c r="H25" s="29" t="s">
        <v>81</v>
      </c>
      <c r="I25" s="28">
        <f>25+9+35+15</f>
        <v>84</v>
      </c>
      <c r="J25" s="29" t="s">
        <v>37</v>
      </c>
    </row>
    <row r="26" spans="1:10" ht="17.100000000000001" customHeight="1" x14ac:dyDescent="0.4">
      <c r="A26" s="2">
        <f>5+100+100+8+9+6+100+383</f>
        <v>711</v>
      </c>
      <c r="B26" s="29" t="s">
        <v>93</v>
      </c>
      <c r="C26" s="28">
        <f>5</f>
        <v>5</v>
      </c>
      <c r="D26" s="29" t="s">
        <v>28</v>
      </c>
      <c r="E26" s="28">
        <f>30+17+17+35</f>
        <v>99</v>
      </c>
      <c r="F26" s="39" t="s">
        <v>92</v>
      </c>
      <c r="G26" s="28">
        <f>9</f>
        <v>9</v>
      </c>
      <c r="H26" s="45" t="s">
        <v>91</v>
      </c>
      <c r="I26" s="28">
        <f>50+7+40+45+60</f>
        <v>202</v>
      </c>
      <c r="J26" s="39" t="s">
        <v>90</v>
      </c>
    </row>
    <row r="27" spans="1:10" ht="17.100000000000001" customHeight="1" x14ac:dyDescent="0.4">
      <c r="A27" s="2">
        <f>20</f>
        <v>20</v>
      </c>
      <c r="B27" s="45" t="s">
        <v>104</v>
      </c>
      <c r="C27" s="28">
        <f>60+60+60+25+45+100+100+100+60+300</f>
        <v>910</v>
      </c>
      <c r="D27" s="29" t="s">
        <v>41</v>
      </c>
      <c r="E27" s="28">
        <f>7</f>
        <v>7</v>
      </c>
      <c r="F27" s="39" t="s">
        <v>105</v>
      </c>
      <c r="G27" s="28">
        <f>55+6+9</f>
        <v>70</v>
      </c>
      <c r="H27" s="39" t="s">
        <v>106</v>
      </c>
      <c r="I27" s="28">
        <f>10+5</f>
        <v>15</v>
      </c>
      <c r="J27" s="39" t="s">
        <v>107</v>
      </c>
    </row>
    <row r="28" spans="1:10" ht="17.100000000000001" customHeight="1" x14ac:dyDescent="0.4">
      <c r="A28" s="2">
        <f>8+7+45</f>
        <v>60</v>
      </c>
      <c r="B28" s="39" t="s">
        <v>120</v>
      </c>
      <c r="C28" s="28">
        <f>0</f>
        <v>0</v>
      </c>
      <c r="D28" s="29" t="s">
        <v>119</v>
      </c>
      <c r="E28" s="28">
        <f>0</f>
        <v>0</v>
      </c>
      <c r="F28" s="39" t="s">
        <v>118</v>
      </c>
      <c r="G28" s="28">
        <f>0</f>
        <v>0</v>
      </c>
      <c r="H28" s="39" t="s">
        <v>117</v>
      </c>
      <c r="I28" s="28">
        <f>45+7</f>
        <v>52</v>
      </c>
      <c r="J28" s="39" t="s">
        <v>116</v>
      </c>
    </row>
    <row r="29" spans="1:10" ht="17.100000000000001" customHeight="1" x14ac:dyDescent="0.4">
      <c r="A29" s="2">
        <f>15+30+60+45+50+100+10+30+20+15+100+40+1240</f>
        <v>1755</v>
      </c>
      <c r="B29" s="29" t="s">
        <v>193</v>
      </c>
      <c r="C29" s="28">
        <f>0</f>
        <v>0</v>
      </c>
      <c r="D29" s="39" t="s">
        <v>133</v>
      </c>
      <c r="E29" s="28">
        <f>20</f>
        <v>20</v>
      </c>
      <c r="F29" s="29" t="s">
        <v>134</v>
      </c>
      <c r="G29" s="28">
        <f>0</f>
        <v>0</v>
      </c>
      <c r="H29" s="29" t="s">
        <v>135</v>
      </c>
      <c r="I29" s="28">
        <f>45+40+20+20</f>
        <v>125</v>
      </c>
      <c r="J29" s="29" t="s">
        <v>136</v>
      </c>
    </row>
    <row r="30" spans="1:10" ht="17.100000000000001" customHeight="1" x14ac:dyDescent="0.4">
      <c r="A30" s="2">
        <f>5</f>
        <v>5</v>
      </c>
      <c r="B30" s="29" t="s">
        <v>148</v>
      </c>
      <c r="C30" s="28">
        <f>0</f>
        <v>0</v>
      </c>
      <c r="D30" s="29" t="s">
        <v>147</v>
      </c>
      <c r="E30" s="28">
        <f>0</f>
        <v>0</v>
      </c>
      <c r="F30" s="39" t="s">
        <v>146</v>
      </c>
      <c r="G30" s="28">
        <f>18+18</f>
        <v>36</v>
      </c>
      <c r="H30" s="29" t="s">
        <v>145</v>
      </c>
      <c r="I30" s="28">
        <f>5</f>
        <v>5</v>
      </c>
      <c r="J30" s="29" t="s">
        <v>144</v>
      </c>
    </row>
    <row r="31" spans="1:10" ht="17.100000000000001" customHeight="1" x14ac:dyDescent="0.4">
      <c r="A31" s="2">
        <f>50+18+35</f>
        <v>103</v>
      </c>
      <c r="B31" s="29" t="s">
        <v>159</v>
      </c>
      <c r="C31" s="28">
        <f>10+16+5</f>
        <v>31</v>
      </c>
      <c r="D31" s="29" t="s">
        <v>160</v>
      </c>
      <c r="E31" s="28">
        <f>150</f>
        <v>150</v>
      </c>
      <c r="F31" s="29" t="s">
        <v>161</v>
      </c>
      <c r="G31" s="28">
        <f>18+5+6+5+30</f>
        <v>64</v>
      </c>
      <c r="H31" s="29" t="s">
        <v>162</v>
      </c>
      <c r="I31" s="28">
        <f>100+100+35+50</f>
        <v>285</v>
      </c>
      <c r="J31" s="39" t="s">
        <v>163</v>
      </c>
    </row>
    <row r="32" spans="1:10" ht="17.100000000000001" customHeight="1" x14ac:dyDescent="0.4">
      <c r="A32" s="2">
        <f>9+18</f>
        <v>27</v>
      </c>
      <c r="B32" s="29" t="s">
        <v>174</v>
      </c>
      <c r="C32" s="28">
        <f>0</f>
        <v>0</v>
      </c>
      <c r="D32" s="39" t="s">
        <v>173</v>
      </c>
      <c r="E32" s="28">
        <f>10</f>
        <v>10</v>
      </c>
      <c r="F32" s="29" t="s">
        <v>83</v>
      </c>
      <c r="G32" s="28">
        <f>20</f>
        <v>20</v>
      </c>
      <c r="H32" s="39" t="s">
        <v>172</v>
      </c>
      <c r="I32" s="28">
        <f>8+25</f>
        <v>33</v>
      </c>
      <c r="J32" s="29" t="s">
        <v>171</v>
      </c>
    </row>
    <row r="33" spans="1:10" ht="17.100000000000001" customHeight="1" x14ac:dyDescent="0.4">
      <c r="A33" s="47">
        <f>20</f>
        <v>20</v>
      </c>
      <c r="B33" s="15" t="s">
        <v>196</v>
      </c>
      <c r="C33" s="17">
        <f>0</f>
        <v>0</v>
      </c>
      <c r="D33" s="15" t="s">
        <v>185</v>
      </c>
      <c r="E33" s="17">
        <f>40+25+5</f>
        <v>70</v>
      </c>
      <c r="F33" s="15" t="s">
        <v>186</v>
      </c>
      <c r="G33" s="17">
        <f>0</f>
        <v>0</v>
      </c>
      <c r="H33" s="39" t="s">
        <v>187</v>
      </c>
      <c r="I33" s="17">
        <f>0</f>
        <v>0</v>
      </c>
      <c r="J33" s="39" t="s">
        <v>188</v>
      </c>
    </row>
    <row r="34" spans="1:10" ht="17.100000000000001" customHeight="1" x14ac:dyDescent="0.4">
      <c r="A34" s="1"/>
      <c r="B34" s="15"/>
      <c r="C34" s="17"/>
      <c r="D34" s="15"/>
      <c r="E34" s="17"/>
      <c r="F34" s="15"/>
      <c r="G34" s="17"/>
      <c r="H34" s="15"/>
      <c r="I34" s="17"/>
      <c r="J34" s="15"/>
    </row>
    <row r="35" spans="1:10" ht="17.100000000000001" customHeight="1" x14ac:dyDescent="0.35">
      <c r="A35" s="4">
        <f>SUM(A21:A33)</f>
        <v>2739</v>
      </c>
      <c r="B35" s="20"/>
      <c r="C35" s="19">
        <f>SUM(C21:C33)</f>
        <v>1632</v>
      </c>
      <c r="D35" s="20"/>
      <c r="E35" s="19">
        <f>SUM(E21:E33)</f>
        <v>726</v>
      </c>
      <c r="F35" s="20"/>
      <c r="G35" s="19">
        <f>SUM(G21:G32)</f>
        <v>566</v>
      </c>
      <c r="H35" s="20"/>
      <c r="I35" s="19">
        <f>SUM(I21:I32)</f>
        <v>1111</v>
      </c>
      <c r="J35" s="20"/>
    </row>
    <row r="36" spans="1:10" ht="17.100000000000001" customHeight="1" x14ac:dyDescent="0.4">
      <c r="A36" s="42">
        <f>A35-A58</f>
        <v>1507</v>
      </c>
      <c r="B36" s="18"/>
      <c r="C36" s="21">
        <f>C35-A58</f>
        <v>400</v>
      </c>
      <c r="D36" s="18"/>
      <c r="E36" s="22">
        <f>E35-A58</f>
        <v>-506</v>
      </c>
      <c r="F36" s="18"/>
      <c r="G36" s="22">
        <f>G35-A58</f>
        <v>-666</v>
      </c>
      <c r="H36" s="23"/>
      <c r="I36" s="22">
        <f>I35-A58</f>
        <v>-121</v>
      </c>
      <c r="J36" s="23"/>
    </row>
    <row r="37" spans="1:10" ht="17.100000000000001" customHeight="1" x14ac:dyDescent="0.4">
      <c r="A37" s="36">
        <v>11</v>
      </c>
      <c r="B37" s="14" t="s">
        <v>9</v>
      </c>
      <c r="C37" s="14">
        <v>12</v>
      </c>
      <c r="D37" s="14" t="s">
        <v>21</v>
      </c>
      <c r="E37" s="14">
        <v>13</v>
      </c>
      <c r="F37" s="14" t="s">
        <v>0</v>
      </c>
      <c r="G37" s="14">
        <v>14</v>
      </c>
      <c r="H37" s="14" t="s">
        <v>11</v>
      </c>
      <c r="I37" s="14">
        <v>15</v>
      </c>
      <c r="J37" s="14"/>
    </row>
    <row r="38" spans="1:10" ht="17.100000000000001" customHeight="1" x14ac:dyDescent="0.4">
      <c r="A38" s="1"/>
      <c r="B38" s="16"/>
      <c r="C38" s="17"/>
      <c r="D38" s="16"/>
      <c r="E38" s="17"/>
      <c r="F38" s="38"/>
      <c r="G38" s="17"/>
      <c r="H38" s="16"/>
      <c r="I38" s="17"/>
      <c r="J38" s="16"/>
    </row>
    <row r="39" spans="1:10" ht="17.100000000000001" customHeight="1" x14ac:dyDescent="0.4">
      <c r="A39" s="1">
        <f>0</f>
        <v>0</v>
      </c>
      <c r="B39" s="29" t="s">
        <v>13</v>
      </c>
      <c r="C39" s="28">
        <f>9+20</f>
        <v>29</v>
      </c>
      <c r="D39" s="29" t="s">
        <v>19</v>
      </c>
      <c r="E39" s="28">
        <f>0</f>
        <v>0</v>
      </c>
      <c r="F39" s="39" t="s">
        <v>30</v>
      </c>
      <c r="G39" s="28">
        <f>9+5+16+25+6+60+55+8+5+25+25+30+355</f>
        <v>624</v>
      </c>
      <c r="H39" s="29" t="s">
        <v>43</v>
      </c>
      <c r="I39" s="28"/>
      <c r="J39" s="29"/>
    </row>
    <row r="40" spans="1:10" ht="17.100000000000001" customHeight="1" x14ac:dyDescent="0.4">
      <c r="A40" s="1">
        <f>15+55</f>
        <v>70</v>
      </c>
      <c r="B40" s="29" t="s">
        <v>48</v>
      </c>
      <c r="C40" s="28">
        <f>10+17+5</f>
        <v>32</v>
      </c>
      <c r="D40" s="29" t="s">
        <v>49</v>
      </c>
      <c r="E40" s="28">
        <f>8+35</f>
        <v>43</v>
      </c>
      <c r="F40" s="29" t="s">
        <v>35</v>
      </c>
      <c r="G40" s="28">
        <f>5+5+5</f>
        <v>15</v>
      </c>
      <c r="H40" s="29" t="s">
        <v>50</v>
      </c>
      <c r="I40" s="28"/>
      <c r="J40" s="29"/>
    </row>
    <row r="41" spans="1:10" ht="17.100000000000001" customHeight="1" x14ac:dyDescent="0.4">
      <c r="A41" s="1">
        <f>0</f>
        <v>0</v>
      </c>
      <c r="B41" s="29" t="s">
        <v>60</v>
      </c>
      <c r="C41" s="28">
        <f>16+6+9</f>
        <v>31</v>
      </c>
      <c r="D41" s="29" t="s">
        <v>61</v>
      </c>
      <c r="E41" s="28">
        <f>0</f>
        <v>0</v>
      </c>
      <c r="F41" s="29" t="s">
        <v>58</v>
      </c>
      <c r="G41" s="28">
        <f>8+17+18+17+65</f>
        <v>125</v>
      </c>
      <c r="H41" s="29" t="s">
        <v>62</v>
      </c>
      <c r="I41" s="34"/>
      <c r="J41" s="29"/>
    </row>
    <row r="42" spans="1:10" ht="17.100000000000001" customHeight="1" x14ac:dyDescent="0.4">
      <c r="A42" s="1">
        <f>8+6+20+90</f>
        <v>124</v>
      </c>
      <c r="B42" s="29" t="s">
        <v>71</v>
      </c>
      <c r="C42" s="28">
        <f>20+30+9+15+30+8+50+50+65</f>
        <v>277</v>
      </c>
      <c r="D42" s="29" t="s">
        <v>72</v>
      </c>
      <c r="E42" s="28">
        <f>40</f>
        <v>40</v>
      </c>
      <c r="F42" s="29" t="s">
        <v>73</v>
      </c>
      <c r="G42" s="28">
        <f>7+50+17+60+17</f>
        <v>151</v>
      </c>
      <c r="H42" s="39" t="s">
        <v>74</v>
      </c>
      <c r="I42" s="28"/>
      <c r="J42" s="29"/>
    </row>
    <row r="43" spans="1:10" ht="17.100000000000001" customHeight="1" x14ac:dyDescent="0.4">
      <c r="A43" s="1">
        <f>5</f>
        <v>5</v>
      </c>
      <c r="B43" s="39" t="s">
        <v>82</v>
      </c>
      <c r="C43" s="28">
        <f>5</f>
        <v>5</v>
      </c>
      <c r="D43" s="29" t="s">
        <v>83</v>
      </c>
      <c r="E43" s="28">
        <f>25</f>
        <v>25</v>
      </c>
      <c r="F43" s="29" t="s">
        <v>84</v>
      </c>
      <c r="G43" s="28">
        <f>20+5+6</f>
        <v>31</v>
      </c>
      <c r="H43" s="29" t="s">
        <v>85</v>
      </c>
      <c r="I43" s="28"/>
      <c r="J43" s="29"/>
    </row>
    <row r="44" spans="1:10" ht="17.100000000000001" customHeight="1" x14ac:dyDescent="0.4">
      <c r="A44" s="1">
        <f>45+16</f>
        <v>61</v>
      </c>
      <c r="B44" s="29" t="s">
        <v>89</v>
      </c>
      <c r="C44" s="28">
        <f>0</f>
        <v>0</v>
      </c>
      <c r="D44" s="39" t="s">
        <v>88</v>
      </c>
      <c r="E44" s="28">
        <f>20+7</f>
        <v>27</v>
      </c>
      <c r="F44" s="29" t="s">
        <v>87</v>
      </c>
      <c r="G44" s="28">
        <f>50</f>
        <v>50</v>
      </c>
      <c r="H44" s="29" t="s">
        <v>86</v>
      </c>
      <c r="I44" s="28"/>
      <c r="J44" s="29"/>
    </row>
    <row r="45" spans="1:10" ht="17.100000000000001" customHeight="1" x14ac:dyDescent="0.4">
      <c r="A45" s="1">
        <f>0</f>
        <v>0</v>
      </c>
      <c r="B45" s="29" t="s">
        <v>108</v>
      </c>
      <c r="C45" s="28">
        <v>35</v>
      </c>
      <c r="D45" s="29" t="s">
        <v>109</v>
      </c>
      <c r="E45" s="28">
        <f>35+15+5</f>
        <v>55</v>
      </c>
      <c r="F45" s="39" t="s">
        <v>110</v>
      </c>
      <c r="G45" s="28">
        <f>60+10</f>
        <v>70</v>
      </c>
      <c r="H45" s="29" t="s">
        <v>111</v>
      </c>
      <c r="I45" s="28"/>
      <c r="J45" s="29"/>
    </row>
    <row r="46" spans="1:10" ht="17.100000000000001" customHeight="1" x14ac:dyDescent="0.4">
      <c r="A46" s="1">
        <f>17+30+25+35+20</f>
        <v>127</v>
      </c>
      <c r="B46" s="29" t="s">
        <v>115</v>
      </c>
      <c r="C46" s="28">
        <f>15+30</f>
        <v>45</v>
      </c>
      <c r="D46" s="29" t="s">
        <v>114</v>
      </c>
      <c r="E46" s="28">
        <f>35+17</f>
        <v>52</v>
      </c>
      <c r="F46" s="29" t="s">
        <v>113</v>
      </c>
      <c r="G46" s="28">
        <f>0</f>
        <v>0</v>
      </c>
      <c r="H46" s="29" t="s">
        <v>112</v>
      </c>
      <c r="I46" s="28"/>
      <c r="J46" s="29"/>
    </row>
    <row r="47" spans="1:10" ht="17.100000000000001" customHeight="1" x14ac:dyDescent="0.4">
      <c r="A47" s="1">
        <f>20+35+30+100+40+35</f>
        <v>260</v>
      </c>
      <c r="B47" s="29" t="s">
        <v>137</v>
      </c>
      <c r="C47" s="28">
        <f>18+5</f>
        <v>23</v>
      </c>
      <c r="D47" s="29" t="s">
        <v>138</v>
      </c>
      <c r="E47" s="28">
        <f>5+5</f>
        <v>10</v>
      </c>
      <c r="F47" s="39" t="s">
        <v>139</v>
      </c>
      <c r="G47" s="28">
        <f>40+16</f>
        <v>56</v>
      </c>
      <c r="H47" s="39" t="s">
        <v>140</v>
      </c>
      <c r="I47" s="28"/>
      <c r="J47" s="29"/>
    </row>
    <row r="48" spans="1:10" ht="17.100000000000001" customHeight="1" x14ac:dyDescent="0.4">
      <c r="A48" s="1">
        <f>0</f>
        <v>0</v>
      </c>
      <c r="B48" s="39" t="s">
        <v>143</v>
      </c>
      <c r="C48" s="28">
        <f>45+18</f>
        <v>63</v>
      </c>
      <c r="D48" s="29" t="s">
        <v>142</v>
      </c>
      <c r="E48" s="28">
        <f>15+8+35+100+45+60+260</f>
        <v>523</v>
      </c>
      <c r="F48" s="29" t="s">
        <v>141</v>
      </c>
      <c r="G48" s="28">
        <f>0</f>
        <v>0</v>
      </c>
      <c r="H48" s="29" t="s">
        <v>88</v>
      </c>
      <c r="I48" s="28"/>
      <c r="J48" s="29"/>
    </row>
    <row r="49" spans="1:10" ht="17.100000000000001" customHeight="1" x14ac:dyDescent="0.4">
      <c r="A49" s="1">
        <f>18+55</f>
        <v>73</v>
      </c>
      <c r="B49" s="29" t="s">
        <v>164</v>
      </c>
      <c r="C49" s="28">
        <f>0</f>
        <v>0</v>
      </c>
      <c r="D49" s="29" t="s">
        <v>165</v>
      </c>
      <c r="E49" s="28">
        <f>17+10</f>
        <v>27</v>
      </c>
      <c r="F49" s="29" t="s">
        <v>166</v>
      </c>
      <c r="G49" s="28">
        <f>5</f>
        <v>5</v>
      </c>
      <c r="H49" s="29" t="s">
        <v>150</v>
      </c>
      <c r="I49" s="28"/>
      <c r="J49" s="29"/>
    </row>
    <row r="50" spans="1:10" ht="17.100000000000001" customHeight="1" x14ac:dyDescent="0.4">
      <c r="A50" s="5">
        <f>0</f>
        <v>0</v>
      </c>
      <c r="B50" s="29" t="s">
        <v>170</v>
      </c>
      <c r="C50" s="35">
        <f>35</f>
        <v>35</v>
      </c>
      <c r="D50" s="39" t="s">
        <v>169</v>
      </c>
      <c r="E50" s="35">
        <f>10+35+25</f>
        <v>70</v>
      </c>
      <c r="F50" s="29" t="s">
        <v>168</v>
      </c>
      <c r="G50" s="35">
        <f>0</f>
        <v>0</v>
      </c>
      <c r="H50" s="29" t="s">
        <v>167</v>
      </c>
      <c r="I50" s="35"/>
      <c r="J50" s="29"/>
    </row>
    <row r="51" spans="1:10" ht="17.100000000000001" customHeight="1" x14ac:dyDescent="0.4">
      <c r="A51" s="5">
        <f>35+17+16+10</f>
        <v>78</v>
      </c>
      <c r="B51" s="25" t="s">
        <v>189</v>
      </c>
      <c r="C51" s="24">
        <f>115+40+18</f>
        <v>173</v>
      </c>
      <c r="D51" s="25" t="s">
        <v>190</v>
      </c>
      <c r="E51" s="24">
        <f>0</f>
        <v>0</v>
      </c>
      <c r="F51" s="15" t="s">
        <v>191</v>
      </c>
      <c r="G51" s="5">
        <f>8+17+30</f>
        <v>55</v>
      </c>
      <c r="H51" s="1" t="s">
        <v>192</v>
      </c>
      <c r="I51" s="5"/>
      <c r="J51" s="1"/>
    </row>
    <row r="52" spans="1:10" ht="17.100000000000001" customHeight="1" x14ac:dyDescent="0.4">
      <c r="A52" s="7"/>
      <c r="B52" s="25"/>
      <c r="C52" s="24"/>
      <c r="D52" s="25"/>
      <c r="E52" s="24"/>
      <c r="F52" s="25"/>
      <c r="G52" s="5"/>
      <c r="H52" s="6"/>
      <c r="I52" s="5"/>
      <c r="J52" s="6"/>
    </row>
    <row r="53" spans="1:10" ht="17.100000000000001" customHeight="1" x14ac:dyDescent="0.4">
      <c r="A53" s="5"/>
      <c r="B53" s="25"/>
      <c r="C53" s="24"/>
      <c r="D53" s="25"/>
      <c r="E53" s="24"/>
      <c r="F53" s="25"/>
      <c r="G53" s="5"/>
      <c r="H53" s="6"/>
      <c r="I53" s="5"/>
      <c r="J53" s="6"/>
    </row>
    <row r="54" spans="1:10" ht="17.100000000000001" customHeight="1" x14ac:dyDescent="0.4">
      <c r="A54" s="4">
        <f>SUM(A39:A51)</f>
        <v>798</v>
      </c>
      <c r="B54" s="8"/>
      <c r="C54" s="4">
        <f>SUM(C39:C51)</f>
        <v>748</v>
      </c>
      <c r="D54" s="8"/>
      <c r="E54" s="4">
        <f>SUM(E39:E50)</f>
        <v>872</v>
      </c>
      <c r="F54" s="6"/>
      <c r="G54" s="4">
        <f>SUM(G39:G51)</f>
        <v>1182</v>
      </c>
      <c r="H54" s="8"/>
      <c r="I54" s="4"/>
      <c r="J54" s="9"/>
    </row>
    <row r="55" spans="1:10" ht="17.100000000000001" customHeight="1" x14ac:dyDescent="0.4">
      <c r="A55" s="10">
        <f>A54-A58</f>
        <v>-434</v>
      </c>
      <c r="B55" s="11"/>
      <c r="C55" s="10">
        <f>C54-A58</f>
        <v>-484</v>
      </c>
      <c r="D55" s="11"/>
      <c r="E55" s="10">
        <f>E54-A58</f>
        <v>-360</v>
      </c>
      <c r="F55" s="11"/>
      <c r="G55" s="10">
        <f>G54-A58</f>
        <v>-50</v>
      </c>
      <c r="H55" s="11"/>
      <c r="I55" s="10"/>
      <c r="J55" s="9"/>
    </row>
    <row r="56" spans="1:10" ht="17.100000000000001" customHeight="1" x14ac:dyDescent="0.4">
      <c r="A56" s="12">
        <f>A17+C17+E17+G17+I17+A35+C35+E35+G35+I35+A54+C54+E54+G54+I54</f>
        <v>17248</v>
      </c>
      <c r="G56" t="s">
        <v>14</v>
      </c>
    </row>
    <row r="57" spans="1:10" ht="17.100000000000001" customHeight="1" x14ac:dyDescent="0.35">
      <c r="B57" s="44" t="s">
        <v>15</v>
      </c>
    </row>
    <row r="58" spans="1:10" ht="17.100000000000001" customHeight="1" x14ac:dyDescent="0.4">
      <c r="A58" s="12">
        <f>A56/14</f>
        <v>1232</v>
      </c>
      <c r="B58" s="13"/>
      <c r="C58" s="13"/>
      <c r="D58" s="13"/>
      <c r="E58" s="13"/>
      <c r="F58" s="13"/>
      <c r="G58" s="13"/>
      <c r="H58" s="13"/>
      <c r="I58" s="13"/>
      <c r="J58" s="13"/>
    </row>
  </sheetData>
  <printOptions verticalCentered="1"/>
  <pageMargins left="0.19685039370078741" right="0.19685039370078741" top="0.31496062992125984" bottom="0.19685039370078741" header="0.31496062992125984" footer="0.39370078740157483"/>
  <pageSetup paperSize="9" scale="69" firstPageNumber="0" orientation="portrait" horizontalDpi="300" verticalDpi="300" r:id="rId1"/>
  <headerFooter>
    <oddHeader>&amp;CVUELTA 2022</oddHeader>
    <oddFooter xml:space="preserve">&amp;CSchlussklassement
11. September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Tagesstand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41798</cp:lastModifiedBy>
  <cp:revision>2</cp:revision>
  <cp:lastPrinted>2020-09-20T19:33:14Z</cp:lastPrinted>
  <dcterms:created xsi:type="dcterms:W3CDTF">2001-10-29T14:55:22Z</dcterms:created>
  <dcterms:modified xsi:type="dcterms:W3CDTF">2022-09-12T11:59:07Z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